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os\Descargas\"/>
    </mc:Choice>
  </mc:AlternateContent>
  <xr:revisionPtr revIDLastSave="0" documentId="13_ncr:1_{C72BA3C8-A64C-434E-8E61-9112B1376DBA}" xr6:coauthVersionLast="47" xr6:coauthVersionMax="47" xr10:uidLastSave="{00000000-0000-0000-0000-000000000000}"/>
  <bookViews>
    <workbookView xWindow="-108" yWindow="-108" windowWidth="23256" windowHeight="12456"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8" l="1"/>
  <c r="F16" i="18"/>
  <c r="E16" i="18"/>
  <c r="C16" i="18"/>
  <c r="F13" i="18"/>
  <c r="E13" i="18"/>
  <c r="E17" i="18" s="1"/>
  <c r="D13" i="18"/>
  <c r="D17" i="18" s="1"/>
  <c r="C13" i="18"/>
  <c r="E26" i="10"/>
  <c r="D26" i="10"/>
  <c r="C26" i="10"/>
  <c r="F17" i="18" l="1"/>
  <c r="C17" i="18"/>
  <c r="B31" i="10"/>
  <c r="B26" i="10"/>
  <c r="F31" i="10"/>
  <c r="E31" i="10"/>
  <c r="D31" i="10"/>
  <c r="C31" i="10"/>
  <c r="F26" i="10"/>
  <c r="B35" i="10" l="1"/>
  <c r="F23" i="17"/>
  <c r="E23" i="17"/>
  <c r="D23" i="17"/>
  <c r="E29" i="17" l="1"/>
  <c r="E54" i="18" l="1"/>
  <c r="I54" i="18"/>
  <c r="G41" i="18"/>
  <c r="E52" i="10"/>
  <c r="E51" i="10"/>
  <c r="D52" i="10"/>
  <c r="D51" i="10"/>
  <c r="C52" i="10"/>
  <c r="C51" i="10"/>
  <c r="B52" i="10"/>
  <c r="B51" i="10"/>
  <c r="B54" i="10" l="1"/>
  <c r="C55" i="10"/>
  <c r="C54" i="10"/>
  <c r="D55" i="10"/>
  <c r="D54" i="10"/>
  <c r="E56" i="10"/>
  <c r="E54" i="10"/>
  <c r="C56" i="10"/>
  <c r="E55" i="10"/>
  <c r="D56" i="10"/>
  <c r="D33" i="23"/>
  <c r="D31" i="23"/>
  <c r="D29" i="23"/>
  <c r="D27" i="23"/>
  <c r="D25" i="23"/>
  <c r="D19" i="23"/>
  <c r="D17" i="23"/>
  <c r="D15" i="23"/>
  <c r="D13" i="23"/>
  <c r="D11" i="23"/>
  <c r="C18" i="12" l="1"/>
  <c r="D35" i="12"/>
  <c r="E35" i="12"/>
  <c r="G35" i="12"/>
  <c r="H35" i="12"/>
  <c r="I35" i="12"/>
  <c r="C29" i="12" l="1"/>
  <c r="C31" i="12" s="1"/>
  <c r="C35" i="12" s="1"/>
  <c r="C83" i="18" l="1"/>
  <c r="C66" i="18"/>
  <c r="G54" i="18"/>
  <c r="C54" i="18"/>
  <c r="C41" i="18"/>
  <c r="H27" i="18"/>
  <c r="G27" i="18"/>
  <c r="F27" i="18"/>
  <c r="E27" i="18"/>
  <c r="D27" i="18"/>
  <c r="C27" i="18"/>
  <c r="H24" i="18"/>
  <c r="G24" i="18"/>
  <c r="F24" i="18"/>
  <c r="E24" i="18"/>
  <c r="D24" i="18"/>
  <c r="C24" i="18"/>
  <c r="C41" i="17"/>
  <c r="C40" i="17"/>
  <c r="C39" i="17"/>
  <c r="C38" i="17"/>
  <c r="C37" i="17"/>
  <c r="C32"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3" i="3"/>
  <c r="E53" i="3" s="1"/>
  <c r="F52" i="3"/>
  <c r="G52" i="3" s="1"/>
  <c r="E52" i="3"/>
  <c r="C52" i="3"/>
  <c r="F51" i="3"/>
  <c r="G51" i="3" s="1"/>
  <c r="E51" i="3"/>
  <c r="C51" i="3"/>
  <c r="F50" i="3"/>
  <c r="G50" i="3" s="1"/>
  <c r="E50" i="3"/>
  <c r="C50" i="3"/>
  <c r="F49" i="3"/>
  <c r="E49" i="3"/>
  <c r="G49" i="3" s="1"/>
  <c r="F48" i="3"/>
  <c r="G48" i="3" s="1"/>
  <c r="E48" i="3"/>
  <c r="C48" i="3"/>
  <c r="E47" i="3"/>
  <c r="B47" i="3"/>
  <c r="B53" i="3" s="1"/>
  <c r="F46" i="3"/>
  <c r="G46" i="3" s="1"/>
  <c r="E46" i="3"/>
  <c r="C46" i="3"/>
  <c r="C23" i="17" l="1"/>
  <c r="F54" i="10"/>
  <c r="D28" i="18"/>
  <c r="E28" i="18"/>
  <c r="G28" i="18"/>
  <c r="H28" i="18"/>
  <c r="C28" i="18"/>
  <c r="F45" i="10"/>
  <c r="F47" i="3"/>
  <c r="G47" i="3" s="1"/>
  <c r="C47" i="3"/>
  <c r="C53" i="3"/>
  <c r="F53" i="3"/>
  <c r="G53" i="3" s="1"/>
  <c r="F28" i="18"/>
</calcChain>
</file>

<file path=xl/sharedStrings.xml><?xml version="1.0" encoding="utf-8"?>
<sst xmlns="http://schemas.openxmlformats.org/spreadsheetml/2006/main" count="710" uniqueCount="324">
  <si>
    <t>Performance Data</t>
  </si>
  <si>
    <t>ESG KPIs</t>
  </si>
  <si>
    <t>Communities KPIs</t>
  </si>
  <si>
    <t>2021 Baseline</t>
  </si>
  <si>
    <t>Q1-2025</t>
  </si>
  <si>
    <t>2030 Target</t>
  </si>
  <si>
    <t>Local workforce vs total workforce (%)</t>
  </si>
  <si>
    <t>Local procurement vs total procurement (%)</t>
  </si>
  <si>
    <t>Planet KPIs</t>
  </si>
  <si>
    <t>-</t>
  </si>
  <si>
    <t>Fresh water utilised per ore processed (m3/tonnes)   </t>
  </si>
  <si>
    <t>Recycled waste (%)</t>
  </si>
  <si>
    <t>Domestic waste landfiled (kg/person/day)</t>
  </si>
  <si>
    <t>Potable water consumption (l/person/day)</t>
  </si>
  <si>
    <t>163 1</t>
  </si>
  <si>
    <t>People KPIs</t>
  </si>
  <si>
    <t>Women in leadership roles (%)</t>
  </si>
  <si>
    <t>Voluntary turnover (%)</t>
  </si>
  <si>
    <t>Health and Safety KPIs</t>
  </si>
  <si>
    <t>Governance KPIs</t>
  </si>
  <si>
    <t>Director Independence (%)</t>
  </si>
  <si>
    <t>&gt;50%</t>
  </si>
  <si>
    <t>Director Tenure (years)</t>
  </si>
  <si>
    <t>Women in Board seats (%)</t>
  </si>
  <si>
    <t>Our operations in Brazil are included in the PEOPLE results since 2022, in the HEALTH AND SAFETY results since 2023 and in the GHG scope 1+2 emissions reduction (%) KPI since 2024. Brazil will be incorporated in the results of the remaining KPI's in 2025, once we have a complete fiscal year of operations to avoid variability in data caused by construction and commissioning activities.</t>
  </si>
  <si>
    <t>Peru</t>
  </si>
  <si>
    <t>Argentina</t>
  </si>
  <si>
    <t>Education </t>
  </si>
  <si>
    <t>Health and nutrition </t>
  </si>
  <si>
    <t>Socio-economic development </t>
  </si>
  <si>
    <t>Philanthropic campaigns </t>
  </si>
  <si>
    <t>Culture and Communication </t>
  </si>
  <si>
    <t>Donations </t>
  </si>
  <si>
    <t>Local government support </t>
  </si>
  <si>
    <t>Total</t>
  </si>
  <si>
    <t>Women</t>
  </si>
  <si>
    <t>Men</t>
  </si>
  <si>
    <t>#</t>
  </si>
  <si>
    <t>%</t>
  </si>
  <si>
    <t>Inmaculada</t>
  </si>
  <si>
    <t>San Jose </t>
  </si>
  <si>
    <t>Pallancata </t>
  </si>
  <si>
    <t>Selene </t>
  </si>
  <si>
    <t>Ares </t>
  </si>
  <si>
    <t>Arcata </t>
  </si>
  <si>
    <t>Sipan </t>
  </si>
  <si>
    <t>Local procurement</t>
  </si>
  <si>
    <t>$</t>
  </si>
  <si>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</si>
  <si>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</si>
  <si>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</si>
  <si>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</si>
  <si>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</si>
  <si>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</si>
  <si>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</si>
  <si>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</si>
  <si>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3.52 </t>
  </si>
  <si>
    <t>3.64 </t>
  </si>
  <si>
    <t>3.11 </t>
  </si>
  <si>
    <t>Energy consumption</t>
  </si>
  <si>
    <t>Energy consumption from combustion of fuel (MWh)</t>
  </si>
  <si>
    <t>Energy consumption from purchased electricity (MWh)</t>
  </si>
  <si>
    <t>Energy consumption from sold electricity, heating, cooling, or steam (MWh)</t>
  </si>
  <si>
    <t>GHG emissions and energy consumption in 2024 by site</t>
  </si>
  <si>
    <t>Hochschild</t>
  </si>
  <si>
    <t>San José</t>
  </si>
  <si>
    <t>Mara Rosa</t>
  </si>
  <si>
    <t>Other sites</t>
  </si>
  <si>
    <t>3 The 2024 results restate the values disclosed in the 2024 Annual Report following their independent reasonable assurance performed in May 2025.</t>
  </si>
  <si>
    <t>4 Limited assurance over emissions from the operating sites was obtained from SGS in 2021 and 2022 and reasonable assurance over emissions from the operating sites was obtained from Aenor in 2023 and 2024, in line with the ISO 14064-1:2018 Standard.</t>
  </si>
  <si>
    <t>Water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</si>
  <si>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</si>
  <si>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</si>
  <si>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</si>
  <si>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</si>
  <si>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</si>
  <si>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</si>
  <si>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</si>
  <si>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</si>
  <si>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</si>
  <si>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</si>
  <si>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</si>
  <si>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</si>
  <si>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</si>
  <si>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</si>
  <si>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San Jose</t>
  </si>
  <si>
    <t>Pallancata and Selene</t>
  </si>
  <si>
    <t>Ares</t>
  </si>
  <si>
    <t>Sipan</t>
  </si>
  <si>
    <t>Arcata</t>
  </si>
  <si>
    <t>1 Please note that the Selene plant was not included in this year’s freshwater use and mineral processed calculation, having been placed in care and maintenance in October 2023. The 2024 results also exclude Brazil due to construction and commissioning activities in Mara Rosa. Mara Rosa will be included from 2025, which will be the first full year of mining operations.</t>
  </si>
  <si>
    <t>2 All water withdrawn and all water discharges correspond to fresh water (≤1,000 mg/L Total Dissolved Solids).</t>
  </si>
  <si>
    <t>3 All water-related results exclude Brazil due to construction and commissioning activities in Mara Rosa. It will be included from 2025, which will be the first full year of mining operations.</t>
  </si>
  <si>
    <t>4 Total water withdrawn and consumed is calculated as the difference between total water withdrawn and total water discharged. Negative values reflect the fact that discharges exceed water withdrawal due to increased rainfall across our mine sites.</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</si>
  <si>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</si>
  <si>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</si>
  <si>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</si>
  <si>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</si>
  <si>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</si>
  <si>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</si>
  <si>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</si>
  <si>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</si>
  <si>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</si>
  <si>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</si>
  <si>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</si>
  <si>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</si>
  <si>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Organic waste reused for compost</t>
  </si>
  <si>
    <t>Offsite</t>
  </si>
  <si>
    <t>Sold/donated waste</t>
  </si>
  <si>
    <t>Hazardous waste directed to disposal (tonnes)</t>
  </si>
  <si>
    <t>Incineration (with energy recovery)</t>
  </si>
  <si>
    <t>Incineration (without energy recovery)</t>
  </si>
  <si>
    <t>Landfilling</t>
  </si>
  <si>
    <t>Other disposal operations</t>
  </si>
  <si>
    <t>Waste and Tailings</t>
  </si>
  <si>
    <t>Tailings and waste rock generated (million metric tonnes)</t>
  </si>
  <si>
    <t>Waste rock generated</t>
  </si>
  <si>
    <t>Inert material</t>
  </si>
  <si>
    <t>Waste rock reused</t>
  </si>
  <si>
    <t>Tails generated</t>
  </si>
  <si>
    <t>Tailings reused</t>
  </si>
  <si>
    <t>Biodiversity</t>
  </si>
  <si>
    <t>Biodiversity-related data</t>
  </si>
  <si>
    <t>Pallancata</t>
  </si>
  <si>
    <t>Selene</t>
  </si>
  <si>
    <t>Sipán</t>
  </si>
  <si>
    <t>Distance of operations from natural protected areas (km)</t>
  </si>
  <si>
    <t>Variety of species of flora and fauna in our sites</t>
  </si>
  <si>
    <t>Flora wet season</t>
  </si>
  <si>
    <t>Flora dry season</t>
  </si>
  <si>
    <t>Fauna wet season</t>
  </si>
  <si>
    <t>Fauna dry season</t>
  </si>
  <si>
    <t xml:space="preserve">1 Arcata and Inmaculada are located inside the Landscape Reserve Sub Cuenca del Cotahuasi buffer zone. </t>
  </si>
  <si>
    <t xml:space="preserve">3 Mara Rosa has only had one monitoring campaign in November 2024, due to construction and commissioning activities until May 2024. </t>
  </si>
  <si>
    <t>4 In Mara Rosa, an estimated number of 50 to 70 species of insects and bees were identified, and are not included in the table.</t>
  </si>
  <si>
    <t>Management of biodiversity impact</t>
  </si>
  <si>
    <t>Natural ecosystem converted (ha)</t>
  </si>
  <si>
    <t>Disturbed areas not yet rehabilitated (ha)</t>
  </si>
  <si>
    <t>Disturbed areas rehabilitated (ha)</t>
  </si>
  <si>
    <t>3 Hochschild does not have activities that could lead to introduction of alien species.</t>
  </si>
  <si>
    <t>Closure</t>
  </si>
  <si>
    <t>Mine Closure and Rehabilitation</t>
  </si>
  <si>
    <t>Date of the most recent mine closure and rehabilitation plan review</t>
  </si>
  <si>
    <t>Closure stage</t>
  </si>
  <si>
    <t>Financial provisions made for closure and rehabilitation - Total nominal budget ($)</t>
  </si>
  <si>
    <t>15th January 2025</t>
  </si>
  <si>
    <t>Progressive</t>
  </si>
  <si>
    <t>12th December 2022</t>
  </si>
  <si>
    <t>30th September 2023</t>
  </si>
  <si>
    <t>N/A</t>
  </si>
  <si>
    <t>1st October 2022</t>
  </si>
  <si>
    <t>28th December 2022</t>
  </si>
  <si>
    <t>Final</t>
  </si>
  <si>
    <t>4th September 2024</t>
  </si>
  <si>
    <t>7th May 2024</t>
  </si>
  <si>
    <t>Post-closure</t>
  </si>
  <si>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</si>
  <si>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</si>
  <si>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</si>
  <si>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</si>
  <si>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</si>
  <si>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</si>
  <si>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</si>
  <si>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</si>
  <si>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Work-Related Injuries in 2024 by country (Employees + Contractors)</t>
  </si>
  <si>
    <t>Brazil</t>
  </si>
  <si>
    <t>Health indicators</t>
  </si>
  <si>
    <t>Average number of medical attendances per month</t>
  </si>
  <si>
    <t>Average number of work-related incidents requiring medical attention per month</t>
  </si>
  <si>
    <t>Average number of occupational health examinations</t>
  </si>
  <si>
    <t>Employment</t>
  </si>
  <si>
    <t>Chile</t>
  </si>
  <si>
    <t>UK</t>
  </si>
  <si>
    <t>Permanent contracts</t>
  </si>
  <si>
    <t>Fixed-term contracts</t>
  </si>
  <si>
    <t>Total men</t>
  </si>
  <si>
    <t>Total women</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</si>
  <si>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</si>
  <si>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</si>
  <si>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</si>
  <si>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</si>
  <si>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</si>
  <si>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</si>
  <si>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</si>
  <si>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</si>
  <si>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</si>
  <si>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</si>
  <si>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</si>
  <si>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</si>
  <si>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</si>
  <si>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Workers who are not employees</t>
  </si>
  <si>
    <t>% of the total workforce</t>
  </si>
  <si>
    <t>Retention</t>
  </si>
  <si>
    <t>By gender</t>
  </si>
  <si>
    <t>Male</t>
  </si>
  <si>
    <t>Total Number</t>
  </si>
  <si>
    <t>Rate (%)</t>
  </si>
  <si>
    <t>Female</t>
  </si>
  <si>
    <t>By age group</t>
  </si>
  <si>
    <t>&lt;30</t>
  </si>
  <si>
    <t>&gt;50</t>
  </si>
  <si>
    <t>Training</t>
  </si>
  <si>
    <t>Technicians</t>
  </si>
  <si>
    <t>Total Hours on training in 2024</t>
  </si>
  <si>
    <t>Health and Safety standards</t>
  </si>
  <si>
    <t>Environmental standards</t>
  </si>
  <si>
    <t>Leadership skills</t>
  </si>
  <si>
    <t>Technical skills</t>
  </si>
  <si>
    <t>Total Hours in training</t>
  </si>
  <si>
    <t>ESG rating agencies scores</t>
  </si>
  <si>
    <t>FTSE4Good (/5)</t>
  </si>
  <si>
    <t>MSCI</t>
  </si>
  <si>
    <t>Sustainalytics</t>
  </si>
  <si>
    <t>CDP Climate Change</t>
  </si>
  <si>
    <t>B</t>
  </si>
  <si>
    <t>CDP Water Security</t>
  </si>
  <si>
    <t>B-</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</si>
  <si>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</si>
  <si>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</si>
  <si>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</si>
  <si>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</si>
  <si>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Q2-2025</t>
  </si>
  <si>
    <t>&lt; 5%</t>
  </si>
  <si>
    <t>GHG scope 1+2 emissions reduction(%)</t>
  </si>
  <si>
    <t>Social investment vs net revenue (%)</t>
  </si>
  <si>
    <t>Women in the workforce (%)</t>
  </si>
  <si>
    <t>Fatal accidents</t>
  </si>
  <si>
    <t>Lost time injury frequency rate (LTIFR)</t>
  </si>
  <si>
    <t>Emissions intensity, per thousand ounces of total silver equivalent produced (tCO2e/koz Ag eq)</t>
  </si>
  <si>
    <t>Energy consumption intensity, per thousand ounces of total silver equivalent produced (MWh/koz Ag eq)</t>
  </si>
  <si>
    <t>n/a</t>
  </si>
  <si>
    <t>2 The 2024 carbon footprint includes data for the whole year for Peru (former and current operating assets, warehouses and office locations), Argentina (San Jose and Buenos Aires office) and London office. The Group’s UK operations consist of a single office with an occupancy of three. Its total Scope 1 and Scope 2 emissions and energy consumption represent less than 0.01% of the Group’s reported totals. Since May 2024, the date Mara Rosa began operations and its emissions became materially significant, the data includes Brazil (Mara Rosa and Belo Horizonte office).</t>
  </si>
  <si>
    <t>5 Scope 2 market-based emissiosn exclude electricity purchased from renewable sources: hydropower in Peru, wind power in Argentina, and photovoltaic power in Brazil.</t>
  </si>
  <si>
    <t>6 Scope 1 biogenic emissions amount to 10.25 tCO2e and Scope 3 biogenic emissions total 1.43 tCO2e. Both figures are included within the overall totals reported for Scope 1 and Scope 3 emissions, respectively.</t>
  </si>
  <si>
    <t>8 Total production includes 100% of all production, including that attributable to the joint venture partner at San Jose.</t>
  </si>
  <si>
    <t>9 Hochschild does not sell energy (electricity, heating, cooling, or steam) as part of its business model, given that energy sales are not part of the company’s core operations.</t>
  </si>
  <si>
    <t>Emissions intensity, per ounces of total gold equivalent produced (tCO2e/oz Au eq)</t>
  </si>
  <si>
    <t>Energy consumption intensity, per ounces of total gold equivalent produced (MWh/oz Au eq)</t>
  </si>
  <si>
    <t>Water withdrawal, discharge, and consumption by year</t>
  </si>
  <si>
    <t>Water withdrawal, discharge, and consumption in 2024 by site</t>
  </si>
  <si>
    <t>Generation of waste by type(tonnes)</t>
  </si>
  <si>
    <t>2 San Jose does not monitor biodiversity on a semi-annual basis, unlike the other mine sites, as it is not a requirement from national legislation.</t>
  </si>
  <si>
    <t>1 Hochschild does not harvest wild species.</t>
  </si>
  <si>
    <t>Life of Mine (LOM)</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</si>
  <si>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</si>
  <si>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</si>
  <si>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</si>
  <si>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</si>
  <si>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t>Collective bargaining: Number and percentage of employees that are part of a trade union</t>
  </si>
  <si>
    <t>Employee departures and departure rate by gender and age group</t>
  </si>
  <si>
    <t>New employee hires and hire rate by gender and age group</t>
  </si>
  <si>
    <t>Volutary turnover (%)</t>
  </si>
  <si>
    <t>Defintion</t>
  </si>
  <si>
    <t>Number of voluntary departures per average headcount between January and December of 2024</t>
  </si>
  <si>
    <t>Retention rates in 2024</t>
  </si>
  <si>
    <t>Total turnover (%)</t>
  </si>
  <si>
    <t>Difference between total new employee hires and departures per average headcount between January and December of 2024</t>
  </si>
  <si>
    <t>Hochschild 2024 result</t>
  </si>
  <si>
    <t>1 Local refers to people working at the mine sites or businesses within regions in which Hochschild operates (Peru: Apurimac, Arequipa, Ayacucho, and Cajamarca; and Argentina: Santa Cruz). </t>
  </si>
  <si>
    <t>$ 82,773,000</t>
  </si>
  <si>
    <t>$ 61,181,000</t>
  </si>
  <si>
    <t>$ 143,954,000</t>
  </si>
  <si>
    <t>Total energy consumption (MWh)</t>
  </si>
  <si>
    <t>1 Carbon footprint calculation method used based on the ISO 14064-1 Standard and GHG Protocol Corporate Accounting and Reporting Standard, using IPCC and Peruvian emission factors. Gases included in the calculation of all three scopes: CO2, CH4, N2O, and tHFC.</t>
  </si>
  <si>
    <t>7 Emissions and energy consumption intensities reflect combustion of fuel and operation of facilities (Scope 1) and purchased electricity (Scope 2) – location-based emissions.</t>
  </si>
  <si>
    <t>10 Collected information for energy consumption from combustion of fuel has been converted to MWh from gallons of fuel using net calorific values obtained from the Peruvian Ministry of Environment. Corresponds to fuel calculated for Scope 1.</t>
  </si>
  <si>
    <t>Non-hazardous waste diverted from disposal (tonnes)</t>
  </si>
  <si>
    <t>Waste directed to disposal (tonnes)</t>
  </si>
  <si>
    <t>Non - Hazardous waste directed to disposal (tonnes)</t>
  </si>
  <si>
    <t>2 Hochschild does not generate pollutants. Our discharges and emissions comply with the national law of each country where we operate on maximum permissible limits, and ensure it through constant environmental monitoring.</t>
  </si>
  <si>
    <t>2 Community-related KPIs exclude Brazil due to Mara Rosa construction and commissioning activities. The Mara Rosa mine site will be included from 2025, which will be the first full year of mining operations.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</si>
  <si>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</si>
  <si>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Social Investment in 2024</t>
  </si>
  <si>
    <t>Local workforce (employees &amp; contractors) in 2024</t>
  </si>
  <si>
    <t>Proportion of spending on local suppliers in 2024</t>
  </si>
  <si>
    <t>&lt; 6</t>
  </si>
  <si>
    <t>Number of employees and contractors that received training in 2024</t>
  </si>
  <si>
    <t>Total number of employees and contractors that received training</t>
  </si>
  <si>
    <t>Average hours on training per worker (employees + contractors) in 2024</t>
  </si>
  <si>
    <t>Total Average Hours</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</si>
  <si>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</si>
  <si>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</si>
  <si>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</si>
  <si>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</si>
  <si>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</si>
  <si>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</si>
  <si>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</si>
  <si>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</si>
  <si>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Last Update</t>
  </si>
  <si>
    <t>Current Score</t>
  </si>
  <si>
    <t>Previous Score</t>
  </si>
  <si>
    <t>Previous Update</t>
  </si>
  <si>
    <t>Sector Average</t>
  </si>
  <si>
    <t>September 2025</t>
  </si>
  <si>
    <t>August 2024</t>
  </si>
  <si>
    <t>March 2025</t>
  </si>
  <si>
    <t>December 2024</t>
  </si>
  <si>
    <t>BBB</t>
  </si>
  <si>
    <t>BB</t>
  </si>
  <si>
    <t>June 2024</t>
  </si>
  <si>
    <t>June 2023</t>
  </si>
  <si>
    <t>Energy consumption by from combustion of fuel (MWh)</t>
  </si>
  <si>
    <t xml:space="preserve">     Diesel</t>
  </si>
  <si>
    <t xml:space="preserve">     Non-renewable sources</t>
  </si>
  <si>
    <t xml:space="preserve">     Renewable sources (hydropower, wind, solar)</t>
  </si>
  <si>
    <t xml:space="preserve">     Gasoline</t>
  </si>
  <si>
    <t xml:space="preserve">     GLP</t>
  </si>
  <si>
    <t xml:space="preserve">     Renewable sources (biofuels)</t>
  </si>
  <si>
    <t>Energy from sold electricity, heating, cooling, or steam (MWh)</t>
  </si>
  <si>
    <t>11 O7ther sites include: The Lima, Arequipa, Buenos Aires, and Belo Horizonte offices; the warehouse in Matarani; and the Pallancata, Selene, Ares, Arcata, and Sipan mine sites.</t>
  </si>
  <si>
    <t>Q3-2025</t>
  </si>
  <si>
    <t>1 Benchmarking against World Gold Council (WGC) members highlights our zero fatal accidents, compared to the WGC average of 1.33.</t>
  </si>
  <si>
    <t>12 Benchmarking against World Gold Council (WGC) members highlights our low emissions intensity of 0.32 tCO₂e/oz Au eq, compared to the WGC average of 1.40 tCO₂e/oz Au eq.</t>
  </si>
  <si>
    <t>5 Benchmarking against World Gold Council (WGC) members highlights our low water withdrawal intensity of 8 m3/oz Au processed, compared to the WGC average of  30 m3/oz Au processed, and a high water recycling rate of 77% above the WGC average of 73%.</t>
  </si>
  <si>
    <t>2 Benchmarking against World Gold Council (WGC) members highlights our high recycling rate of 57% when compared to the WGC average of 47%.</t>
  </si>
  <si>
    <t>1 All waste-related data (except Waste and Tailings data) exclude Brazil due to construction and commissioning activities in Mara Rosa. It will be included from 2025, which will be the first full year of mining operations.</t>
  </si>
  <si>
    <t>1 LTIFR and LTISR are calculated based on 1,000,000 hours worked.</t>
  </si>
  <si>
    <t>2 The 2023 and 2024 results of the LTIFR have been independently assured by EY Peru following the International Standard on Assurance Engagements (ISAE) 3000.</t>
  </si>
  <si>
    <t>2 Benchmarking against WGC members highlights our low LTIFR of 1.25, compared to the WGC average of 1.40.</t>
  </si>
  <si>
    <t>1 Variations in the number of contractors during the reporting period are mainly attributed to: the operational growth in Brazil, resulting in the increase of contractors, and the closure of the Pallancata mine site, resulting in the reduction of contractors.</t>
  </si>
  <si>
    <t>2 Work carried out by contractors primarily includes mine operations, processing plant operations, infrastructure and road maintenance, diamond drilling for exploration activities, and catering. This figure is reported in head count at the end of the reporting period.</t>
  </si>
  <si>
    <t>3 In 2024, contractors or other types of workers who are not employees did not work in sites not included in the table above. These sites are: the Sipán mine site, the Matarani warehouse, and Lima, Arequipa, London, Buenos Aires, and Belo Horizonte offices.</t>
  </si>
  <si>
    <t>Full time employee total by country</t>
  </si>
  <si>
    <t>Full time employee total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</si>
</sst>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quot;£&quot;#,##0"/>
    <numFmt numFmtId="171" formatCode="[$USD]\ #,##0"/>
    <numFmt numFmtId="172" formatCode="0.0"/>
  </numFmts>
  <fonts count="43">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sz val="8"/>
      <name val="Galano Grotesque"/>
      <family val="3"/>
    </font>
    <font>
      <b/>
      <sz val="8"/>
      <color theme="1"/>
      <name val="Galano Grotesque"/>
      <family val="3"/>
    </font>
    <font>
      <b/>
      <sz val="8"/>
      <name val="Galano Grotesque"/>
      <family val="3"/>
    </font>
    <font>
      <sz val="12"/>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33">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
      <left/>
      <right style="medium">
        <color theme="0"/>
      </right>
      <top/>
      <bottom style="medium">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42">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6"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70" xfId="2" applyFont="1" applyBorder="1"/>
    <xf numFmtId="3" fontId="7" fillId="0" borderId="41" xfId="2" applyNumberFormat="1" applyFont="1" applyBorder="1" applyAlignment="1">
      <alignment horizontal="center" vertical="center"/>
    </xf>
    <xf numFmtId="0" fontId="5" fillId="0" borderId="65" xfId="2" applyFont="1" applyBorder="1"/>
    <xf numFmtId="0" fontId="3" fillId="0" borderId="64" xfId="1" applyFont="1" applyBorder="1" applyAlignment="1">
      <alignment horizontal="center" vertical="top" wrapText="1"/>
    </xf>
    <xf numFmtId="0" fontId="2" fillId="0" borderId="70" xfId="1" applyFont="1" applyBorder="1" applyAlignment="1">
      <alignment horizontal="center" vertical="center" wrapText="1"/>
    </xf>
    <xf numFmtId="3" fontId="6" fillId="0" borderId="64" xfId="2" applyNumberFormat="1" applyFont="1" applyBorder="1" applyAlignment="1">
      <alignment horizontal="center" vertical="center" wrapText="1"/>
    </xf>
    <xf numFmtId="0" fontId="3" fillId="0" borderId="94" xfId="1" applyFont="1" applyBorder="1" applyAlignment="1">
      <alignment horizontal="center" vertical="top" wrapText="1"/>
    </xf>
    <xf numFmtId="3" fontId="6" fillId="0" borderId="57" xfId="2" applyNumberFormat="1" applyFont="1" applyBorder="1" applyAlignment="1">
      <alignment horizontal="center" vertical="center" wrapText="1"/>
    </xf>
    <xf numFmtId="0" fontId="6" fillId="0" borderId="61" xfId="1" applyFont="1" applyBorder="1" applyAlignment="1">
      <alignment horizontal="left" vertical="top"/>
    </xf>
    <xf numFmtId="0" fontId="5" fillId="0" borderId="63" xfId="2" applyFont="1" applyBorder="1"/>
    <xf numFmtId="0" fontId="5" fillId="0" borderId="57" xfId="2" applyFont="1" applyBorder="1"/>
    <xf numFmtId="0" fontId="5" fillId="0" borderId="73" xfId="2" applyFont="1" applyBorder="1"/>
    <xf numFmtId="3" fontId="6" fillId="0" borderId="70" xfId="2" applyNumberFormat="1" applyFont="1" applyBorder="1" applyAlignment="1">
      <alignment horizontal="center" vertical="center" wrapText="1"/>
    </xf>
    <xf numFmtId="0" fontId="3" fillId="0" borderId="65" xfId="1" applyFont="1" applyBorder="1" applyAlignment="1">
      <alignment horizontal="center" vertical="top" wrapText="1"/>
    </xf>
    <xf numFmtId="0" fontId="3" fillId="0" borderId="70"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70" xfId="2" applyFont="1" applyBorder="1" applyAlignment="1">
      <alignment horizontal="center"/>
    </xf>
    <xf numFmtId="0" fontId="5" fillId="0" borderId="60" xfId="2" applyFont="1" applyBorder="1" applyAlignment="1">
      <alignment horizontal="center"/>
    </xf>
    <xf numFmtId="0" fontId="5" fillId="0" borderId="63" xfId="2" applyFont="1" applyBorder="1" applyAlignment="1">
      <alignment horizontal="center"/>
    </xf>
    <xf numFmtId="0" fontId="17" fillId="0" borderId="57" xfId="2" applyFont="1" applyBorder="1"/>
    <xf numFmtId="0" fontId="17" fillId="0" borderId="0" xfId="2" applyFont="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6"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70" xfId="1" applyFont="1" applyBorder="1" applyAlignment="1">
      <alignment horizontal="left" vertical="center" wrapText="1"/>
    </xf>
    <xf numFmtId="0" fontId="8" fillId="0" borderId="64" xfId="1" applyFont="1" applyBorder="1" applyAlignment="1">
      <alignment horizontal="left" vertical="center" wrapText="1"/>
    </xf>
    <xf numFmtId="0" fontId="6" fillId="0" borderId="70" xfId="1" applyFont="1" applyBorder="1" applyAlignment="1">
      <alignment horizontal="left" vertical="top"/>
    </xf>
    <xf numFmtId="0" fontId="6" fillId="0" borderId="65" xfId="1" applyFont="1" applyBorder="1" applyAlignment="1">
      <alignment horizontal="left" vertical="top"/>
    </xf>
    <xf numFmtId="0" fontId="7" fillId="0" borderId="64"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5" xfId="2" applyFont="1" applyBorder="1"/>
    <xf numFmtId="0" fontId="5" fillId="0" borderId="45" xfId="2" applyFont="1" applyBorder="1" applyAlignment="1">
      <alignment horizontal="center"/>
    </xf>
    <xf numFmtId="0" fontId="5" fillId="0" borderId="11" xfId="2" applyFont="1" applyBorder="1" applyAlignment="1">
      <alignment horizontal="center"/>
    </xf>
    <xf numFmtId="0" fontId="5" fillId="0" borderId="46"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5"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2" xfId="2" applyFont="1" applyBorder="1"/>
    <xf numFmtId="0" fontId="7" fillId="3" borderId="102" xfId="1" applyFont="1" applyFill="1" applyBorder="1" applyAlignment="1">
      <alignment horizontal="left" vertical="center" wrapText="1"/>
    </xf>
    <xf numFmtId="0" fontId="2" fillId="3" borderId="86" xfId="1" applyFont="1" applyFill="1" applyBorder="1" applyAlignment="1">
      <alignment horizontal="center" vertical="center" wrapText="1"/>
    </xf>
    <xf numFmtId="0" fontId="8" fillId="3" borderId="86"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5" xfId="1" applyFont="1" applyFill="1" applyBorder="1" applyAlignment="1">
      <alignment horizontal="center" vertical="center" wrapText="1"/>
    </xf>
    <xf numFmtId="0" fontId="2" fillId="3" borderId="128" xfId="1" applyFont="1" applyFill="1" applyBorder="1" applyAlignment="1">
      <alignment horizontal="center" vertical="center" wrapText="1"/>
    </xf>
    <xf numFmtId="0" fontId="7" fillId="0" borderId="83"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11" xfId="3" applyFont="1" applyFill="1" applyBorder="1" applyAlignment="1">
      <alignment horizontal="center" vertical="center" wrapText="1"/>
    </xf>
    <xf numFmtId="0" fontId="7" fillId="0" borderId="83"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100" xfId="3" applyFont="1" applyFill="1" applyBorder="1" applyAlignment="1">
      <alignment horizontal="center" vertical="center" wrapText="1"/>
    </xf>
    <xf numFmtId="9" fontId="6" fillId="2" borderId="111" xfId="3" applyFont="1" applyFill="1" applyBorder="1" applyAlignment="1">
      <alignment horizontal="center" vertical="center"/>
    </xf>
    <xf numFmtId="0" fontId="5" fillId="0" borderId="66" xfId="2" applyFont="1" applyBorder="1"/>
    <xf numFmtId="0" fontId="5" fillId="0" borderId="59" xfId="2" applyFont="1" applyBorder="1" applyAlignment="1">
      <alignment horizontal="center"/>
    </xf>
    <xf numFmtId="0" fontId="5" fillId="0" borderId="41" xfId="2" applyFont="1" applyBorder="1" applyAlignment="1">
      <alignment horizontal="center"/>
    </xf>
    <xf numFmtId="0" fontId="5" fillId="0" borderId="66" xfId="2" applyFont="1" applyBorder="1" applyAlignment="1">
      <alignment horizontal="center"/>
    </xf>
    <xf numFmtId="0" fontId="2" fillId="0" borderId="51" xfId="2" applyFont="1" applyBorder="1"/>
    <xf numFmtId="0" fontId="2" fillId="0" borderId="33" xfId="2" applyFont="1" applyBorder="1"/>
    <xf numFmtId="0" fontId="13" fillId="0" borderId="48" xfId="0" applyFont="1" applyBorder="1" applyAlignment="1">
      <alignment horizontal="justify" vertical="center"/>
    </xf>
    <xf numFmtId="0" fontId="13" fillId="0" borderId="46" xfId="0" applyFont="1" applyBorder="1"/>
    <xf numFmtId="0" fontId="13" fillId="0" borderId="45" xfId="0" applyFont="1" applyBorder="1"/>
    <xf numFmtId="0" fontId="13" fillId="0" borderId="11" xfId="0" applyFont="1" applyBorder="1"/>
    <xf numFmtId="0" fontId="12" fillId="0" borderId="67" xfId="0" applyFont="1" applyBorder="1"/>
    <xf numFmtId="0" fontId="12" fillId="0" borderId="46" xfId="0" applyFont="1" applyBorder="1"/>
    <xf numFmtId="0" fontId="12" fillId="0" borderId="105" xfId="0" applyFont="1" applyBorder="1"/>
    <xf numFmtId="0" fontId="2" fillId="3" borderId="103" xfId="1" applyFont="1" applyFill="1" applyBorder="1" applyAlignment="1">
      <alignment horizontal="center" vertical="center" wrapText="1"/>
    </xf>
    <xf numFmtId="0" fontId="8" fillId="3" borderId="10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2" fillId="3" borderId="104"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100"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5" xfId="2" applyFont="1" applyBorder="1" applyAlignment="1">
      <alignment horizontal="center"/>
    </xf>
    <xf numFmtId="0" fontId="5" fillId="0" borderId="48"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7"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7"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9" xfId="3" applyFont="1" applyFill="1" applyBorder="1" applyAlignment="1">
      <alignment horizontal="center" vertical="center" wrapText="1"/>
    </xf>
    <xf numFmtId="0" fontId="8" fillId="0" borderId="47" xfId="0" applyFont="1" applyBorder="1" applyAlignment="1">
      <alignment horizontal="center" vertical="center" wrapText="1"/>
    </xf>
    <xf numFmtId="9" fontId="8" fillId="0" borderId="50"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9" xfId="3" applyFont="1" applyFill="1" applyBorder="1" applyAlignment="1">
      <alignment horizontal="center" vertical="center" wrapText="1"/>
    </xf>
    <xf numFmtId="0" fontId="5" fillId="0" borderId="0" xfId="0" applyFont="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3" xfId="2" applyFont="1" applyBorder="1" applyAlignment="1">
      <alignment horizontal="center"/>
    </xf>
    <xf numFmtId="0" fontId="5" fillId="0" borderId="74"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100"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7" fillId="0" borderId="14" xfId="2" applyFont="1" applyBorder="1" applyAlignment="1">
      <alignment vertical="center" wrapText="1"/>
    </xf>
    <xf numFmtId="4" fontId="7" fillId="0" borderId="100"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4" fontId="7" fillId="0" borderId="108"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9"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10"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10"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10"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11" xfId="3" applyFont="1" applyBorder="1" applyAlignment="1">
      <alignment horizontal="center" vertical="center"/>
    </xf>
    <xf numFmtId="0" fontId="5" fillId="0" borderId="15" xfId="2" applyFont="1" applyBorder="1" applyAlignment="1">
      <alignment vertical="center"/>
    </xf>
    <xf numFmtId="0" fontId="5" fillId="5" borderId="62" xfId="2" applyFont="1" applyFill="1" applyBorder="1"/>
    <xf numFmtId="0" fontId="5" fillId="5" borderId="57" xfId="2" applyFont="1" applyFill="1" applyBorder="1"/>
    <xf numFmtId="0" fontId="5" fillId="0" borderId="64" xfId="2" applyFont="1" applyBorder="1"/>
    <xf numFmtId="0" fontId="5" fillId="0" borderId="61" xfId="2" applyFont="1" applyBorder="1"/>
    <xf numFmtId="0" fontId="5" fillId="0" borderId="60"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5"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6"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10"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7" xfId="2" applyNumberFormat="1" applyFont="1" applyBorder="1" applyAlignment="1">
      <alignment horizontal="center" vertical="center"/>
    </xf>
    <xf numFmtId="3" fontId="7" fillId="0" borderId="98" xfId="2" applyNumberFormat="1" applyFont="1" applyBorder="1" applyAlignment="1">
      <alignment horizontal="center" vertical="center"/>
    </xf>
    <xf numFmtId="3" fontId="7" fillId="0" borderId="96" xfId="2" applyNumberFormat="1" applyFont="1" applyBorder="1" applyAlignment="1">
      <alignment horizontal="center" vertical="center"/>
    </xf>
    <xf numFmtId="3" fontId="7" fillId="0" borderId="111" xfId="2" applyNumberFormat="1" applyFont="1" applyBorder="1" applyAlignment="1">
      <alignment horizontal="center" vertical="center"/>
    </xf>
    <xf numFmtId="0" fontId="29" fillId="0" borderId="60" xfId="0" applyFont="1" applyBorder="1" applyAlignment="1">
      <alignment vertical="center" wrapText="1"/>
    </xf>
    <xf numFmtId="0" fontId="5" fillId="0" borderId="111" xfId="2" applyFont="1" applyBorder="1" applyAlignment="1">
      <alignment horizontal="center" vertical="center"/>
    </xf>
    <xf numFmtId="3" fontId="6" fillId="2" borderId="81" xfId="2" applyNumberFormat="1" applyFont="1" applyFill="1" applyBorder="1" applyAlignment="1">
      <alignment horizontal="center" vertical="center" wrapText="1"/>
    </xf>
    <xf numFmtId="3" fontId="6" fillId="0" borderId="99" xfId="2" applyNumberFormat="1" applyFont="1" applyBorder="1" applyAlignment="1">
      <alignment horizontal="center" vertical="center" wrapText="1"/>
    </xf>
    <xf numFmtId="3" fontId="6" fillId="0" borderId="76" xfId="2" applyNumberFormat="1" applyFont="1" applyBorder="1" applyAlignment="1">
      <alignment horizontal="center" vertical="center" wrapText="1"/>
    </xf>
    <xf numFmtId="3" fontId="6" fillId="0" borderId="75" xfId="2" applyNumberFormat="1" applyFont="1" applyBorder="1" applyAlignment="1">
      <alignment horizontal="center" vertical="center" wrapText="1"/>
    </xf>
    <xf numFmtId="3" fontId="6" fillId="0" borderId="113" xfId="2" applyNumberFormat="1" applyFont="1" applyBorder="1" applyAlignment="1">
      <alignment horizontal="center" vertical="center" wrapText="1"/>
    </xf>
    <xf numFmtId="0" fontId="29" fillId="0" borderId="57" xfId="0" applyFont="1" applyBorder="1" applyAlignment="1">
      <alignment vertical="center" wrapText="1"/>
    </xf>
    <xf numFmtId="0" fontId="7" fillId="3" borderId="112" xfId="1" applyFont="1" applyFill="1" applyBorder="1" applyAlignment="1">
      <alignment horizontal="left" vertical="center" wrapText="1"/>
    </xf>
    <xf numFmtId="3" fontId="6" fillId="2" borderId="108"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11"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1" xfId="2" applyFont="1" applyBorder="1" applyAlignment="1">
      <alignment horizontal="left" vertical="center"/>
    </xf>
    <xf numFmtId="0" fontId="5" fillId="0" borderId="89" xfId="2" applyFont="1" applyBorder="1"/>
    <xf numFmtId="0" fontId="5" fillId="0" borderId="67" xfId="2" applyFont="1" applyBorder="1"/>
    <xf numFmtId="0" fontId="5" fillId="0" borderId="87" xfId="2" applyFont="1" applyBorder="1"/>
    <xf numFmtId="0" fontId="5" fillId="0" borderId="12" xfId="2" applyFont="1" applyBorder="1" applyAlignment="1">
      <alignment vertical="center" wrapText="1"/>
    </xf>
    <xf numFmtId="0" fontId="5" fillId="0" borderId="88" xfId="2" applyFont="1" applyBorder="1"/>
    <xf numFmtId="0" fontId="5" fillId="0" borderId="92" xfId="2" applyFont="1" applyBorder="1"/>
    <xf numFmtId="0" fontId="5" fillId="0" borderId="72" xfId="2" applyFont="1" applyBorder="1"/>
    <xf numFmtId="3" fontId="6" fillId="2" borderId="100" xfId="2" applyNumberFormat="1" applyFont="1" applyFill="1" applyBorder="1" applyAlignment="1">
      <alignment horizontal="center" vertical="center" wrapText="1"/>
    </xf>
    <xf numFmtId="0" fontId="5" fillId="0" borderId="93"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9"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40" xfId="2" applyFont="1" applyBorder="1" applyAlignment="1">
      <alignment horizontal="left"/>
    </xf>
    <xf numFmtId="3" fontId="6" fillId="2" borderId="0" xfId="2" applyNumberFormat="1" applyFont="1" applyFill="1" applyAlignment="1">
      <alignment horizontal="center" vertical="center" wrapText="1"/>
    </xf>
    <xf numFmtId="3" fontId="7" fillId="0" borderId="29"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9"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11" xfId="2" applyNumberFormat="1" applyFont="1" applyBorder="1" applyAlignment="1">
      <alignment horizontal="center" vertical="center"/>
    </xf>
    <xf numFmtId="0" fontId="5" fillId="0" borderId="7" xfId="2" applyFont="1" applyBorder="1"/>
    <xf numFmtId="0" fontId="6" fillId="3" borderId="112"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5"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8" xfId="2" applyFont="1" applyFill="1" applyBorder="1"/>
    <xf numFmtId="0" fontId="5" fillId="5" borderId="48" xfId="2" applyFont="1" applyFill="1" applyBorder="1" applyAlignment="1">
      <alignment horizontal="center"/>
    </xf>
    <xf numFmtId="0" fontId="5" fillId="5" borderId="30" xfId="2" applyFont="1" applyFill="1" applyBorder="1" applyAlignment="1">
      <alignment horizontal="center"/>
    </xf>
    <xf numFmtId="0" fontId="5" fillId="5" borderId="54"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11" xfId="2" applyNumberFormat="1" applyFont="1" applyBorder="1" applyAlignment="1">
      <alignment horizontal="center" vertical="center" wrapText="1"/>
    </xf>
    <xf numFmtId="4" fontId="7" fillId="0" borderId="111" xfId="2" applyNumberFormat="1" applyFont="1" applyBorder="1" applyAlignment="1">
      <alignment horizontal="center" vertical="center" wrapText="1"/>
    </xf>
    <xf numFmtId="3" fontId="7" fillId="5" borderId="18" xfId="2" applyNumberFormat="1" applyFont="1" applyFill="1" applyBorder="1" applyAlignment="1">
      <alignment horizontal="center" vertical="center"/>
    </xf>
    <xf numFmtId="0" fontId="5" fillId="5" borderId="68" xfId="2" applyFont="1" applyFill="1" applyBorder="1"/>
    <xf numFmtId="0" fontId="13" fillId="0" borderId="69" xfId="0" applyFont="1" applyBorder="1"/>
    <xf numFmtId="0" fontId="7" fillId="3" borderId="23" xfId="1" applyFont="1" applyFill="1" applyBorder="1" applyAlignment="1">
      <alignment horizontal="left" vertical="center" wrapText="1"/>
    </xf>
    <xf numFmtId="0" fontId="5" fillId="0" borderId="65" xfId="1" applyFont="1" applyBorder="1" applyAlignment="1">
      <alignment horizontal="center" vertical="center" wrapText="1"/>
    </xf>
    <xf numFmtId="3" fontId="9" fillId="0" borderId="116"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48" xfId="0" applyFont="1" applyBorder="1" applyAlignment="1">
      <alignment horizontal="justify" vertical="center"/>
    </xf>
    <xf numFmtId="0" fontId="5" fillId="0" borderId="45" xfId="0" applyFont="1" applyBorder="1" applyAlignment="1">
      <alignment vertical="center"/>
    </xf>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7"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4"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11"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5"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7"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4" xfId="2" applyFont="1" applyBorder="1" applyAlignment="1">
      <alignment horizontal="center"/>
    </xf>
    <xf numFmtId="0" fontId="5" fillId="0" borderId="48"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7" xfId="1" applyFont="1" applyFill="1" applyBorder="1" applyAlignment="1">
      <alignment horizontal="center" vertical="top"/>
    </xf>
    <xf numFmtId="3" fontId="7" fillId="0" borderId="118"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2" fillId="3" borderId="23" xfId="1" applyFont="1" applyFill="1" applyBorder="1" applyAlignment="1">
      <alignment horizontal="left" vertical="top"/>
    </xf>
    <xf numFmtId="0" fontId="13" fillId="3" borderId="125"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7"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6" xfId="2" applyNumberFormat="1" applyFont="1" applyBorder="1" applyAlignment="1">
      <alignment horizontal="center" vertical="center"/>
    </xf>
    <xf numFmtId="3" fontId="7" fillId="0" borderId="78" xfId="2" applyNumberFormat="1" applyFont="1" applyBorder="1" applyAlignment="1">
      <alignment horizontal="center" vertical="center"/>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54"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9"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7"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8" xfId="3" applyFont="1" applyBorder="1" applyAlignment="1">
      <alignment horizontal="center" vertical="center"/>
    </xf>
    <xf numFmtId="0" fontId="5" fillId="0" borderId="56" xfId="2" applyFont="1" applyBorder="1" applyAlignment="1">
      <alignment vertical="center"/>
    </xf>
    <xf numFmtId="0" fontId="5" fillId="0" borderId="52"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30" xfId="2" applyFont="1" applyFill="1" applyBorder="1" applyAlignment="1">
      <alignment vertical="center"/>
    </xf>
    <xf numFmtId="0" fontId="5" fillId="3" borderId="130" xfId="2" applyFont="1" applyFill="1" applyBorder="1" applyAlignment="1">
      <alignment horizontal="center" vertical="center"/>
    </xf>
    <xf numFmtId="0" fontId="13" fillId="0" borderId="129" xfId="0" applyFont="1" applyBorder="1"/>
    <xf numFmtId="10" fontId="7" fillId="0" borderId="108"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6" xfId="1" applyFont="1" applyFill="1" applyBorder="1" applyAlignment="1">
      <alignment horizontal="center" vertical="center"/>
    </xf>
    <xf numFmtId="0" fontId="5" fillId="3" borderId="126"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3" borderId="37" xfId="2" applyFont="1" applyFill="1" applyBorder="1" applyAlignment="1">
      <alignment vertical="center"/>
    </xf>
    <xf numFmtId="10" fontId="6" fillId="2" borderId="79"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8" xfId="2" applyNumberFormat="1" applyFont="1" applyBorder="1" applyAlignment="1">
      <alignment horizontal="center" vertical="center"/>
    </xf>
    <xf numFmtId="0" fontId="5" fillId="3" borderId="44" xfId="2" applyFont="1" applyFill="1" applyBorder="1" applyAlignment="1">
      <alignment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4" xfId="3" applyNumberFormat="1" applyFont="1" applyBorder="1" applyAlignment="1">
      <alignment horizontal="center" vertical="center"/>
    </xf>
    <xf numFmtId="0" fontId="5" fillId="3" borderId="42"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80"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100"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10" xfId="3" applyNumberFormat="1" applyFont="1" applyBorder="1" applyAlignment="1">
      <alignment horizontal="center" vertical="center"/>
    </xf>
    <xf numFmtId="10" fontId="7" fillId="0" borderId="127" xfId="3" applyNumberFormat="1" applyFont="1" applyBorder="1" applyAlignment="1">
      <alignment horizontal="center" vertical="center"/>
    </xf>
    <xf numFmtId="10" fontId="7" fillId="0" borderId="111" xfId="3" applyNumberFormat="1" applyFont="1" applyBorder="1" applyAlignment="1">
      <alignment horizontal="center" vertical="center"/>
    </xf>
    <xf numFmtId="3" fontId="7" fillId="0" borderId="117"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11"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11"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100" xfId="3" applyNumberFormat="1" applyFont="1" applyFill="1" applyBorder="1" applyAlignment="1">
      <alignment horizontal="center" vertical="center" wrapText="1"/>
    </xf>
    <xf numFmtId="170" fontId="8" fillId="0" borderId="38" xfId="0"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5"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5" xfId="2" applyFont="1" applyBorder="1" applyAlignment="1">
      <alignment wrapText="1"/>
    </xf>
    <xf numFmtId="4" fontId="7" fillId="0" borderId="108"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10"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6"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10" xfId="3" applyNumberFormat="1" applyFont="1" applyBorder="1" applyAlignment="1">
      <alignment horizontal="center" vertical="center"/>
    </xf>
    <xf numFmtId="3" fontId="39" fillId="5" borderId="2" xfId="2" applyNumberFormat="1" applyFont="1" applyFill="1" applyBorder="1" applyAlignment="1">
      <alignment horizontal="center" vertical="center" wrapText="1"/>
    </xf>
    <xf numFmtId="3" fontId="39" fillId="5" borderId="101" xfId="2" applyNumberFormat="1" applyFont="1" applyFill="1" applyBorder="1" applyAlignment="1">
      <alignment horizontal="center" vertical="center" wrapText="1"/>
    </xf>
    <xf numFmtId="3" fontId="39" fillId="5" borderId="3" xfId="2" applyNumberFormat="1" applyFont="1" applyFill="1" applyBorder="1" applyAlignment="1">
      <alignment horizontal="center" vertical="center" wrapText="1"/>
    </xf>
    <xf numFmtId="3" fontId="39" fillId="5" borderId="100" xfId="2" applyNumberFormat="1" applyFont="1" applyFill="1" applyBorder="1" applyAlignment="1">
      <alignment horizontal="center" vertical="center" wrapText="1"/>
    </xf>
    <xf numFmtId="9" fontId="7" fillId="0" borderId="78" xfId="3" applyFont="1" applyBorder="1" applyAlignment="1">
      <alignment horizontal="center" vertical="center"/>
    </xf>
    <xf numFmtId="9" fontId="7" fillId="0" borderId="113"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8" xfId="3" applyFont="1" applyBorder="1" applyAlignment="1">
      <alignment horizontal="center"/>
    </xf>
    <xf numFmtId="171" fontId="27" fillId="3" borderId="38" xfId="0" applyNumberFormat="1" applyFont="1" applyFill="1" applyBorder="1" applyAlignment="1">
      <alignment horizontal="center" vertical="center" wrapText="1"/>
    </xf>
    <xf numFmtId="0" fontId="5" fillId="0" borderId="3" xfId="2" applyFont="1" applyBorder="1" applyAlignment="1">
      <alignment vertical="center"/>
    </xf>
    <xf numFmtId="3" fontId="39" fillId="0" borderId="14" xfId="2" applyNumberFormat="1" applyFont="1" applyBorder="1" applyAlignment="1">
      <alignment horizontal="center" vertical="center" wrapText="1"/>
    </xf>
    <xf numFmtId="3" fontId="41" fillId="2" borderId="14" xfId="2" applyNumberFormat="1" applyFont="1" applyFill="1" applyBorder="1" applyAlignment="1">
      <alignment horizontal="center" vertical="center" wrapText="1"/>
    </xf>
    <xf numFmtId="3" fontId="39" fillId="0" borderId="111" xfId="2" applyNumberFormat="1" applyFont="1" applyBorder="1" applyAlignment="1">
      <alignment horizontal="center" vertic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0" fontId="5" fillId="2" borderId="40" xfId="2" applyFont="1" applyFill="1" applyBorder="1" applyAlignment="1">
      <alignment horizontal="center" vertical="center"/>
    </xf>
    <xf numFmtId="3" fontId="5" fillId="2" borderId="9" xfId="2" applyNumberFormat="1" applyFont="1" applyFill="1" applyBorder="1" applyAlignment="1">
      <alignment horizontal="center" vertical="center"/>
    </xf>
    <xf numFmtId="0" fontId="5" fillId="2" borderId="9" xfId="2"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11" xfId="2" applyNumberFormat="1" applyFont="1" applyFill="1" applyBorder="1" applyAlignment="1">
      <alignment horizontal="center" vertical="center"/>
    </xf>
    <xf numFmtId="0" fontId="13" fillId="3" borderId="0" xfId="0" applyFont="1" applyFill="1"/>
    <xf numFmtId="0" fontId="2" fillId="2" borderId="121"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20" xfId="1" applyFont="1" applyFill="1" applyBorder="1" applyAlignment="1">
      <alignment horizontal="center" vertical="center"/>
    </xf>
    <xf numFmtId="9" fontId="2" fillId="2" borderId="121" xfId="3" applyFont="1" applyFill="1" applyBorder="1" applyAlignment="1">
      <alignment horizontal="center" vertical="center"/>
    </xf>
    <xf numFmtId="9" fontId="2" fillId="2" borderId="121" xfId="1" applyNumberFormat="1" applyFont="1" applyFill="1" applyBorder="1" applyAlignment="1">
      <alignment horizontal="center" vertical="center"/>
    </xf>
    <xf numFmtId="9" fontId="2" fillId="2" borderId="122"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5" fillId="2" borderId="17"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6" xfId="2" applyFont="1" applyFill="1" applyBorder="1" applyAlignment="1">
      <alignment horizontal="left" vertical="center"/>
    </xf>
    <xf numFmtId="0" fontId="12" fillId="2" borderId="15" xfId="0" applyFont="1" applyFill="1" applyBorder="1" applyAlignment="1">
      <alignment horizontal="left"/>
    </xf>
    <xf numFmtId="0" fontId="2" fillId="2" borderId="76" xfId="1" applyFont="1" applyFill="1" applyBorder="1" applyAlignment="1">
      <alignment horizontal="center" vertical="center"/>
    </xf>
    <xf numFmtId="9" fontId="2" fillId="2" borderId="78" xfId="3" applyFont="1" applyFill="1" applyBorder="1" applyAlignment="1">
      <alignment horizontal="center" vertical="center"/>
    </xf>
    <xf numFmtId="0" fontId="2" fillId="2" borderId="78" xfId="1" applyFont="1" applyFill="1" applyBorder="1" applyAlignment="1">
      <alignment horizontal="center" vertical="center"/>
    </xf>
    <xf numFmtId="9" fontId="2" fillId="2" borderId="113"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vertical="center"/>
    </xf>
    <xf numFmtId="3" fontId="7" fillId="3" borderId="123" xfId="2" applyNumberFormat="1" applyFont="1" applyFill="1" applyBorder="1" applyAlignment="1">
      <alignment horizontal="center" vertical="center" wrapText="1"/>
    </xf>
    <xf numFmtId="9" fontId="7" fillId="3" borderId="100" xfId="3" applyFont="1" applyFill="1" applyBorder="1" applyAlignment="1">
      <alignment horizontal="center" vertical="center"/>
    </xf>
    <xf numFmtId="3" fontId="7" fillId="3" borderId="130" xfId="2" applyNumberFormat="1" applyFont="1" applyFill="1" applyBorder="1" applyAlignment="1">
      <alignment horizontal="center" vertical="center"/>
    </xf>
    <xf numFmtId="0" fontId="2" fillId="3" borderId="123" xfId="1" applyFont="1" applyFill="1" applyBorder="1" applyAlignment="1">
      <alignment horizontal="center" vertical="center"/>
    </xf>
    <xf numFmtId="3" fontId="39" fillId="0" borderId="16" xfId="2" applyNumberFormat="1" applyFont="1" applyBorder="1" applyAlignment="1">
      <alignment horizontal="center" vertical="center"/>
    </xf>
    <xf numFmtId="3" fontId="39" fillId="0" borderId="110"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8" xfId="2" applyNumberFormat="1" applyFont="1" applyFill="1" applyBorder="1" applyAlignment="1">
      <alignment horizontal="center" vertical="center"/>
    </xf>
    <xf numFmtId="168" fontId="39" fillId="0" borderId="12" xfId="3" applyNumberFormat="1" applyFont="1" applyBorder="1" applyAlignment="1">
      <alignment horizontal="center" vertical="center" wrapText="1"/>
    </xf>
    <xf numFmtId="168"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xf>
    <xf numFmtId="2" fontId="39" fillId="0" borderId="12" xfId="3" applyNumberFormat="1" applyFont="1" applyBorder="1" applyAlignment="1">
      <alignment horizontal="center" vertical="center"/>
    </xf>
    <xf numFmtId="9" fontId="39" fillId="0" borderId="12" xfId="3" applyFont="1" applyBorder="1" applyAlignment="1">
      <alignment horizontal="center" vertical="center"/>
    </xf>
    <xf numFmtId="169" fontId="39" fillId="0" borderId="12" xfId="3" applyNumberFormat="1" applyFont="1" applyBorder="1" applyAlignment="1">
      <alignment horizontal="center" vertical="center"/>
    </xf>
    <xf numFmtId="1"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wrapText="1"/>
    </xf>
    <xf numFmtId="1" fontId="39" fillId="0" borderId="12" xfId="3" applyNumberFormat="1" applyFont="1" applyBorder="1" applyAlignment="1">
      <alignment horizontal="center" vertical="center" wrapText="1"/>
    </xf>
    <xf numFmtId="172" fontId="6" fillId="2" borderId="3" xfId="2" applyNumberFormat="1" applyFont="1" applyFill="1" applyBorder="1" applyAlignment="1">
      <alignment horizontal="center" vertical="center" wrapText="1"/>
    </xf>
    <xf numFmtId="172" fontId="7" fillId="0" borderId="12" xfId="2" applyNumberFormat="1" applyFont="1" applyBorder="1" applyAlignment="1">
      <alignment horizontal="center" vertical="center"/>
    </xf>
    <xf numFmtId="172" fontId="7" fillId="0" borderId="14" xfId="2" applyNumberFormat="1" applyFont="1" applyBorder="1" applyAlignment="1">
      <alignment horizontal="center" vertical="center"/>
    </xf>
    <xf numFmtId="172" fontId="6" fillId="0" borderId="12" xfId="3" applyNumberFormat="1" applyFont="1" applyBorder="1" applyAlignment="1">
      <alignment horizontal="center" vertical="center"/>
    </xf>
    <xf numFmtId="172" fontId="39" fillId="0" borderId="12" xfId="3"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3" fontId="39" fillId="0" borderId="0" xfId="2" applyNumberFormat="1" applyFont="1" applyAlignment="1">
      <alignment horizontal="center" vertical="center" wrapText="1"/>
    </xf>
    <xf numFmtId="0" fontId="17" fillId="0" borderId="62" xfId="2" applyFont="1" applyBorder="1"/>
    <xf numFmtId="0" fontId="17" fillId="0" borderId="65" xfId="2" applyFont="1" applyBorder="1"/>
    <xf numFmtId="0" fontId="5" fillId="0" borderId="131" xfId="2" applyFont="1" applyBorder="1" applyAlignment="1">
      <alignment vertical="center" wrapText="1"/>
    </xf>
    <xf numFmtId="0" fontId="5" fillId="0" borderId="1" xfId="2" applyFont="1" applyBorder="1"/>
    <xf numFmtId="3" fontId="7" fillId="0" borderId="27" xfId="2" applyNumberFormat="1" applyFont="1" applyBorder="1"/>
    <xf numFmtId="3" fontId="39" fillId="8" borderId="14" xfId="2" applyNumberFormat="1" applyFont="1" applyFill="1" applyBorder="1" applyAlignment="1">
      <alignment horizontal="center" vertical="center" wrapText="1"/>
    </xf>
    <xf numFmtId="3" fontId="39" fillId="8" borderId="111" xfId="2" applyNumberFormat="1" applyFont="1" applyFill="1" applyBorder="1" applyAlignment="1">
      <alignment horizontal="center" vertical="center" wrapText="1"/>
    </xf>
    <xf numFmtId="3" fontId="41" fillId="8" borderId="14" xfId="2" applyNumberFormat="1" applyFont="1" applyFill="1" applyBorder="1" applyAlignment="1">
      <alignment horizontal="center"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100" xfId="2" applyNumberFormat="1" applyFont="1" applyFill="1" applyBorder="1" applyAlignment="1">
      <alignment horizontal="center" vertical="center"/>
    </xf>
    <xf numFmtId="0" fontId="5" fillId="8" borderId="3" xfId="2" applyFont="1" applyFill="1" applyBorder="1" applyAlignment="1">
      <alignment vertical="center" wrapText="1"/>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2" fillId="0" borderId="25" xfId="2" applyFont="1" applyBorder="1"/>
    <xf numFmtId="2" fontId="6" fillId="0" borderId="3" xfId="3" applyNumberFormat="1" applyFont="1" applyBorder="1" applyAlignment="1">
      <alignment horizontal="center" vertical="center"/>
    </xf>
    <xf numFmtId="9" fontId="6" fillId="0" borderId="9" xfId="3" applyFont="1" applyBorder="1" applyAlignment="1">
      <alignment horizontal="center" vertical="center"/>
    </xf>
    <xf numFmtId="169" fontId="6" fillId="0" borderId="3" xfId="3" applyNumberFormat="1" applyFont="1" applyBorder="1" applyAlignment="1">
      <alignment horizontal="center" vertical="center"/>
    </xf>
    <xf numFmtId="1" fontId="6" fillId="0" borderId="9" xfId="3" applyNumberFormat="1" applyFont="1" applyBorder="1" applyAlignment="1">
      <alignment horizontal="center" vertical="center"/>
    </xf>
    <xf numFmtId="0" fontId="2" fillId="0" borderId="0" xfId="2" applyFont="1" applyAlignment="1">
      <alignment horizontal="center"/>
    </xf>
    <xf numFmtId="10" fontId="6" fillId="0" borderId="3" xfId="3"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24" xfId="2" applyFont="1" applyBorder="1"/>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2" fontId="6" fillId="0" borderId="3" xfId="3" applyNumberFormat="1" applyFont="1" applyBorder="1" applyAlignment="1">
      <alignment horizontal="center" vertical="center"/>
    </xf>
    <xf numFmtId="9" fontId="6" fillId="0" borderId="3" xfId="3" applyFont="1" applyBorder="1" applyAlignment="1">
      <alignment horizontal="center" vertical="center"/>
    </xf>
    <xf numFmtId="3" fontId="7" fillId="5" borderId="0" xfId="2" applyNumberFormat="1" applyFont="1" applyFill="1" applyAlignment="1">
      <alignment horizontal="center" vertical="center"/>
    </xf>
    <xf numFmtId="0" fontId="7" fillId="0" borderId="2" xfId="2" applyFont="1" applyBorder="1" applyAlignment="1">
      <alignment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2" fillId="2" borderId="0" xfId="2" applyFont="1" applyFill="1" applyAlignment="1">
      <alignment horizontal="left" vertical="center"/>
    </xf>
    <xf numFmtId="3" fontId="6" fillId="2" borderId="0" xfId="2" applyNumberFormat="1" applyFont="1" applyFill="1" applyAlignment="1">
      <alignment horizontal="center" vertical="center"/>
    </xf>
    <xf numFmtId="0" fontId="2" fillId="2" borderId="0" xfId="1" applyFont="1" applyFill="1" applyAlignment="1">
      <alignment horizontal="center" vertical="center"/>
    </xf>
    <xf numFmtId="9" fontId="2" fillId="2" borderId="0" xfId="3" applyFont="1" applyFill="1" applyBorder="1" applyAlignment="1">
      <alignment horizontal="center" vertical="center"/>
    </xf>
    <xf numFmtId="3" fontId="5" fillId="2" borderId="18" xfId="1" applyNumberFormat="1" applyFont="1" applyFill="1" applyBorder="1" applyAlignment="1">
      <alignment horizontal="center" vertical="center"/>
    </xf>
    <xf numFmtId="9" fontId="2" fillId="2" borderId="18" xfId="3" applyFont="1" applyFill="1" applyBorder="1" applyAlignment="1">
      <alignment horizontal="center" vertical="center"/>
    </xf>
    <xf numFmtId="3" fontId="2" fillId="2" borderId="18" xfId="1" applyNumberFormat="1" applyFont="1" applyFill="1" applyBorder="1" applyAlignment="1">
      <alignment horizontal="center" vertical="center"/>
    </xf>
    <xf numFmtId="0" fontId="5" fillId="0" borderId="0" xfId="2" applyFont="1" applyAlignment="1">
      <alignment horizontal="center" vertical="center"/>
    </xf>
    <xf numFmtId="0" fontId="2" fillId="3" borderId="109" xfId="1" applyFont="1" applyFill="1" applyBorder="1" applyAlignment="1">
      <alignment horizontal="center" vertical="top"/>
    </xf>
    <xf numFmtId="168" fontId="7" fillId="0" borderId="0" xfId="3" applyNumberFormat="1" applyFont="1" applyFill="1" applyBorder="1" applyAlignment="1">
      <alignment horizontal="center" vertical="center"/>
    </xf>
    <xf numFmtId="0" fontId="7" fillId="0" borderId="91"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7"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6" xfId="0" applyFont="1" applyBorder="1" applyAlignment="1">
      <alignment horizontal="left" vertical="center" wrapText="1"/>
    </xf>
    <xf numFmtId="0" fontId="28" fillId="0" borderId="11"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9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6" xfId="0" applyFont="1" applyBorder="1" applyAlignment="1">
      <alignment horizontal="left" vertical="top" wrapText="1"/>
    </xf>
    <xf numFmtId="0" fontId="28" fillId="0" borderId="11" xfId="0" applyFont="1" applyBorder="1" applyAlignment="1">
      <alignment horizontal="left" vertical="top"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4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90" xfId="0" applyFont="1" applyBorder="1" applyAlignment="1">
      <alignment horizontal="left" vertical="center" wrapText="1"/>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31" xfId="2" applyFont="1" applyBorder="1" applyAlignment="1">
      <alignment horizontal="left" vertical="center"/>
    </xf>
    <xf numFmtId="0" fontId="5" fillId="0" borderId="29" xfId="2" applyFont="1" applyBorder="1" applyAlignment="1">
      <alignment horizontal="left" vertical="center"/>
    </xf>
    <xf numFmtId="0" fontId="5" fillId="0" borderId="39" xfId="2" applyFont="1" applyBorder="1" applyAlignment="1">
      <alignment horizontal="left" vertical="center"/>
    </xf>
    <xf numFmtId="0" fontId="5" fillId="0" borderId="13" xfId="2" applyFont="1" applyBorder="1" applyAlignment="1">
      <alignment horizontal="left" vertical="center"/>
    </xf>
    <xf numFmtId="0" fontId="5" fillId="0" borderId="40" xfId="2" applyFont="1" applyBorder="1" applyAlignment="1">
      <alignment horizontal="left" vertical="center"/>
    </xf>
    <xf numFmtId="0" fontId="5" fillId="0" borderId="54" xfId="2" applyFont="1" applyBorder="1" applyAlignment="1">
      <alignment horizontal="center"/>
    </xf>
    <xf numFmtId="0" fontId="5" fillId="0" borderId="88" xfId="2" applyFont="1" applyBorder="1" applyAlignment="1">
      <alignment horizontal="center"/>
    </xf>
    <xf numFmtId="0" fontId="5" fillId="0" borderId="0" xfId="2" applyFont="1" applyAlignment="1">
      <alignment horizontal="center"/>
    </xf>
    <xf numFmtId="0" fontId="5" fillId="0" borderId="57" xfId="2" applyFont="1" applyBorder="1" applyAlignment="1">
      <alignment horizontal="center"/>
    </xf>
    <xf numFmtId="0" fontId="5" fillId="0" borderId="90" xfId="2" applyFont="1" applyBorder="1" applyAlignment="1">
      <alignment horizontal="center"/>
    </xf>
    <xf numFmtId="0" fontId="5" fillId="0" borderId="71" xfId="2" applyFont="1" applyBorder="1" applyAlignment="1">
      <alignment horizontal="center"/>
    </xf>
    <xf numFmtId="0" fontId="5" fillId="0" borderId="59" xfId="2" applyFont="1" applyBorder="1" applyAlignment="1">
      <alignment horizontal="center"/>
    </xf>
    <xf numFmtId="0" fontId="5" fillId="0" borderId="65" xfId="2" applyFont="1" applyBorder="1" applyAlignment="1">
      <alignment horizontal="center"/>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29" fillId="0" borderId="57" xfId="0" applyFont="1" applyBorder="1" applyAlignment="1">
      <alignment vertical="center" wrapText="1"/>
    </xf>
    <xf numFmtId="0" fontId="29" fillId="0" borderId="65" xfId="0" applyFont="1" applyBorder="1" applyAlignment="1">
      <alignment vertical="center" wrapText="1"/>
    </xf>
    <xf numFmtId="0" fontId="5" fillId="0" borderId="14" xfId="2" applyFont="1" applyBorder="1" applyAlignment="1">
      <alignment horizontal="left" vertical="center" wrapText="1"/>
    </xf>
    <xf numFmtId="0" fontId="20" fillId="0" borderId="0" xfId="1" applyFont="1" applyAlignment="1">
      <alignment horizontal="left" vertical="top"/>
    </xf>
    <xf numFmtId="0" fontId="26" fillId="0" borderId="57" xfId="1" applyFont="1" applyBorder="1" applyAlignment="1">
      <alignment horizontal="left" vertical="center" wrapText="1"/>
    </xf>
    <xf numFmtId="0" fontId="26" fillId="0" borderId="132" xfId="1" applyFont="1" applyBorder="1" applyAlignment="1">
      <alignment horizontal="left" vertical="center" wrapText="1"/>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42" fillId="0" borderId="0" xfId="1" applyFont="1" applyAlignment="1">
      <alignment horizontal="left" vertical="top" wrapText="1"/>
    </xf>
    <xf numFmtId="0" fontId="40" fillId="3" borderId="49" xfId="2" applyFont="1" applyFill="1" applyBorder="1" applyAlignment="1">
      <alignment horizontal="left" vertical="center"/>
    </xf>
    <xf numFmtId="0" fontId="40" fillId="3" borderId="3" xfId="2" applyFont="1" applyFill="1" applyBorder="1" applyAlignment="1">
      <alignment horizontal="left" vertical="center"/>
    </xf>
    <xf numFmtId="0" fontId="5" fillId="3" borderId="49" xfId="2" applyFont="1" applyFill="1" applyBorder="1" applyAlignment="1">
      <alignment horizontal="center" vertical="center"/>
    </xf>
    <xf numFmtId="0" fontId="5" fillId="3" borderId="14" xfId="2" applyFont="1" applyFill="1" applyBorder="1" applyAlignment="1">
      <alignment horizontal="center" vertical="center"/>
    </xf>
    <xf numFmtId="0" fontId="5" fillId="0" borderId="52" xfId="2" applyFont="1" applyBorder="1" applyAlignment="1">
      <alignment vertical="center"/>
    </xf>
    <xf numFmtId="0" fontId="5" fillId="0" borderId="56" xfId="2" applyFont="1" applyBorder="1" applyAlignment="1">
      <alignment vertical="center"/>
    </xf>
    <xf numFmtId="0" fontId="5" fillId="0" borderId="55" xfId="2" applyFont="1" applyBorder="1" applyAlignment="1">
      <alignment vertical="center"/>
    </xf>
    <xf numFmtId="0" fontId="5" fillId="0" borderId="52" xfId="2" applyFont="1" applyBorder="1" applyAlignment="1">
      <alignment horizontal="left" vertical="center"/>
    </xf>
    <xf numFmtId="0" fontId="5" fillId="0" borderId="56" xfId="2" applyFont="1" applyBorder="1" applyAlignment="1">
      <alignment horizontal="left" vertical="center"/>
    </xf>
    <xf numFmtId="0" fontId="5" fillId="0" borderId="55" xfId="2" applyFont="1" applyBorder="1" applyAlignment="1">
      <alignment horizontal="left" vertical="center"/>
    </xf>
    <xf numFmtId="0" fontId="5" fillId="3" borderId="49"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58"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06" xfId="1" applyFont="1" applyFill="1" applyBorder="1" applyAlignment="1">
      <alignment horizontal="center" vertical="center"/>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54"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6" fillId="5" borderId="18" xfId="1" applyFont="1" applyFill="1" applyBorder="1" applyAlignment="1">
      <alignment horizontal="left" vertical="center" wrapText="1"/>
    </xf>
    <xf numFmtId="0" fontId="29" fillId="0" borderId="43" xfId="2" applyFont="1" applyBorder="1" applyAlignment="1">
      <alignment horizontal="center" vertical="center"/>
    </xf>
    <xf numFmtId="0" fontId="29" fillId="0" borderId="18"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0" fillId="5" borderId="0" xfId="1" applyFont="1" applyFill="1" applyAlignment="1">
      <alignment horizontal="left"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xf numFmtId="0" fontId="20" fillId="0" borderId="0" xfId="1" applyFont="1" applyAlignment="1">
      <alignment horizontal="left" vertical="center"/>
    </xf>
    <xf numFmtId="0" fontId="5" fillId="0" borderId="49" xfId="2" applyFont="1" applyBorder="1" applyAlignment="1">
      <alignment horizontal="left" vertical="center"/>
    </xf>
  </cellXfs>
  <cellStyles count="4">
    <cellStyle name="Normal" xfId="0" builtinId="0"/>
    <cellStyle name="Normal 11" xfId="1" xr:uid="{00000000-0005-0000-0000-000001000000}"/>
    <cellStyle name="Normal 2" xfId="2" xr:uid="{00000000-0005-0000-0000-000002000000}"/>
    <cellStyle name="Porcentaje"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27</xdr:row>
      <xdr:rowOff>180975</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14</xdr:col>
      <xdr:colOff>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19050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90" zoomScaleNormal="90" workbookViewId="0">
      <selection activeCell="A10" sqref="A10"/>
    </sheetView>
  </sheetViews>
  <sheetFormatPr baseColWidth="10" defaultColWidth="11.44140625" defaultRowHeight="14.4"/>
  <cols>
    <col min="2" max="2" width="33.33203125" customWidth="1"/>
  </cols>
  <sheetData>
    <row r="1" spans="1:11">
      <c r="A1" s="83"/>
      <c r="B1" s="83"/>
      <c r="C1" s="83"/>
      <c r="D1" s="83"/>
      <c r="E1" s="83"/>
      <c r="F1" s="83"/>
      <c r="G1" s="83"/>
      <c r="H1" s="83"/>
      <c r="I1" s="83"/>
      <c r="J1" s="83"/>
      <c r="K1" s="83"/>
    </row>
    <row r="2" spans="1:11">
      <c r="A2" s="83"/>
      <c r="B2" s="83"/>
      <c r="C2" s="83"/>
      <c r="D2" s="83"/>
      <c r="E2" s="83"/>
      <c r="F2" s="83"/>
      <c r="G2" s="83"/>
      <c r="H2" s="83"/>
      <c r="I2" s="83"/>
      <c r="J2" s="83"/>
      <c r="K2" s="83"/>
    </row>
    <row r="3" spans="1:11">
      <c r="A3" s="83"/>
      <c r="B3" s="83"/>
      <c r="C3" s="83"/>
      <c r="D3" s="83"/>
      <c r="E3" s="83"/>
      <c r="F3" s="83"/>
      <c r="G3" s="83"/>
      <c r="H3" s="83"/>
      <c r="I3" s="83"/>
      <c r="J3" s="83"/>
      <c r="K3" s="83"/>
    </row>
    <row r="4" spans="1:11">
      <c r="A4" s="83"/>
      <c r="B4" s="83"/>
      <c r="C4" s="83"/>
      <c r="D4" s="83"/>
      <c r="E4" s="83"/>
      <c r="F4" s="83"/>
      <c r="G4" s="83"/>
      <c r="H4" s="83"/>
      <c r="I4" s="83"/>
      <c r="J4" s="83"/>
      <c r="K4" s="83"/>
    </row>
    <row r="5" spans="1:11">
      <c r="A5" s="83"/>
      <c r="B5" s="83"/>
      <c r="C5" s="83"/>
      <c r="D5" s="83"/>
      <c r="E5" s="83"/>
      <c r="F5" s="83"/>
      <c r="G5" s="83"/>
      <c r="H5" s="83"/>
      <c r="I5" s="83"/>
      <c r="J5" s="83"/>
      <c r="K5" s="83"/>
    </row>
    <row r="6" spans="1:11">
      <c r="A6" s="83"/>
      <c r="B6" s="83"/>
      <c r="C6" s="83"/>
      <c r="D6" s="83"/>
      <c r="E6" s="83"/>
      <c r="F6" s="83"/>
      <c r="G6" s="83"/>
      <c r="H6" s="83"/>
      <c r="I6" s="83"/>
      <c r="J6" s="83"/>
      <c r="K6" s="83"/>
    </row>
    <row r="7" spans="1:11">
      <c r="A7" s="83"/>
      <c r="B7" s="83"/>
      <c r="C7" s="83"/>
      <c r="D7" s="83"/>
      <c r="E7" s="83"/>
      <c r="F7" s="83"/>
      <c r="G7" s="83"/>
      <c r="H7" s="83"/>
      <c r="I7" s="83"/>
      <c r="J7" s="83"/>
      <c r="K7" s="83"/>
    </row>
    <row r="8" spans="1:11">
      <c r="A8" s="83"/>
      <c r="B8" s="84" t="s">
        <v>0</v>
      </c>
      <c r="C8" s="83"/>
      <c r="D8" s="83"/>
      <c r="E8" s="83"/>
      <c r="F8" s="83"/>
      <c r="G8" s="83"/>
      <c r="H8" s="83"/>
      <c r="I8" s="83"/>
      <c r="J8" s="83"/>
      <c r="K8" s="83"/>
    </row>
    <row r="9" spans="1:11">
      <c r="A9" s="110"/>
      <c r="B9" s="116"/>
      <c r="C9" s="110"/>
      <c r="D9" s="110"/>
      <c r="E9" s="110"/>
      <c r="F9" s="110"/>
      <c r="G9" s="110"/>
      <c r="H9" s="110"/>
      <c r="I9" s="110"/>
      <c r="J9" s="110"/>
      <c r="K9" s="110"/>
    </row>
    <row r="10" spans="1:11">
      <c r="A10" s="85"/>
      <c r="B10" s="86"/>
      <c r="C10" s="85"/>
      <c r="D10" s="85"/>
      <c r="E10" s="85"/>
      <c r="F10" s="85"/>
      <c r="G10" s="85"/>
      <c r="H10" s="85"/>
      <c r="I10" s="85"/>
      <c r="J10" s="85"/>
      <c r="K10" s="85"/>
    </row>
    <row r="11" spans="1:11">
      <c r="A11" s="85"/>
      <c r="B11" s="86"/>
      <c r="C11" s="85"/>
      <c r="D11" s="85"/>
      <c r="E11" s="85"/>
      <c r="F11" s="85"/>
      <c r="G11" s="85"/>
      <c r="H11" s="85"/>
      <c r="I11" s="85"/>
      <c r="J11" s="85"/>
      <c r="K11" s="85"/>
    </row>
    <row r="12" spans="1:11">
      <c r="A12" s="85"/>
      <c r="B12" s="86"/>
      <c r="C12" s="85"/>
      <c r="D12" s="85"/>
      <c r="E12" s="85"/>
      <c r="F12" s="85"/>
      <c r="G12" s="85"/>
      <c r="H12" s="85"/>
      <c r="I12" s="85"/>
      <c r="J12" s="85"/>
      <c r="K12" s="85"/>
    </row>
    <row r="13" spans="1:11">
      <c r="A13" s="85"/>
      <c r="B13" s="86"/>
      <c r="C13" s="85"/>
      <c r="D13" s="85"/>
      <c r="E13" s="85"/>
      <c r="F13" s="85"/>
      <c r="G13" s="85"/>
      <c r="H13" s="85"/>
      <c r="I13" s="85"/>
      <c r="J13" s="85"/>
      <c r="K13" s="85"/>
    </row>
    <row r="14" spans="1:11">
      <c r="A14" s="85"/>
      <c r="B14" s="86"/>
      <c r="C14" s="85"/>
      <c r="D14" s="85"/>
      <c r="E14" s="85"/>
      <c r="F14" s="85"/>
      <c r="G14" s="85"/>
      <c r="H14" s="85"/>
      <c r="I14" s="85"/>
      <c r="J14" s="85"/>
      <c r="K14" s="85"/>
    </row>
    <row r="15" spans="1:11">
      <c r="A15" s="85"/>
      <c r="B15" s="86"/>
      <c r="C15" s="85"/>
      <c r="D15" s="85"/>
      <c r="E15" s="85"/>
      <c r="F15" s="85"/>
      <c r="G15" s="85"/>
      <c r="H15" s="85"/>
      <c r="I15" s="85"/>
      <c r="J15" s="85"/>
      <c r="K15" s="85"/>
    </row>
    <row r="16" spans="1:11">
      <c r="A16" s="85"/>
      <c r="B16" s="86"/>
      <c r="C16" s="85"/>
      <c r="D16" s="85"/>
      <c r="E16" s="85"/>
      <c r="F16" s="85"/>
      <c r="G16" s="85"/>
      <c r="H16" s="85"/>
      <c r="I16" s="85"/>
      <c r="J16" s="85"/>
      <c r="K16" s="85"/>
    </row>
    <row r="17" spans="1:15">
      <c r="A17" s="85"/>
      <c r="B17" s="86"/>
      <c r="C17" s="85"/>
      <c r="D17" s="85"/>
      <c r="E17" s="85"/>
      <c r="F17" s="85"/>
      <c r="G17" s="85"/>
      <c r="H17" s="85"/>
      <c r="I17" s="85"/>
      <c r="J17" s="85"/>
      <c r="K17" s="85"/>
    </row>
    <row r="18" spans="1:15">
      <c r="A18" s="85"/>
      <c r="B18" s="86"/>
      <c r="C18" s="85"/>
      <c r="D18" s="85"/>
      <c r="E18" s="85"/>
      <c r="F18" s="85"/>
      <c r="G18" s="85"/>
      <c r="H18" s="85"/>
      <c r="I18" s="85"/>
      <c r="J18" s="85"/>
      <c r="K18" s="85"/>
    </row>
    <row r="19" spans="1:15">
      <c r="A19" s="85"/>
      <c r="B19" s="86"/>
      <c r="C19" s="85"/>
      <c r="D19" s="85"/>
      <c r="E19" s="85"/>
      <c r="F19" s="85"/>
      <c r="G19" s="85"/>
      <c r="H19" s="85"/>
      <c r="I19" s="85"/>
      <c r="J19" s="85"/>
      <c r="K19" s="85"/>
    </row>
    <row r="20" spans="1:15" ht="19.2">
      <c r="A20" s="85"/>
      <c r="B20" s="86"/>
      <c r="C20" s="85"/>
      <c r="D20" s="85"/>
      <c r="E20" s="85"/>
      <c r="F20" s="85"/>
      <c r="G20" s="85"/>
      <c r="H20" s="85"/>
      <c r="I20" s="85"/>
      <c r="J20" s="85"/>
      <c r="K20" s="85"/>
      <c r="O20" s="89"/>
    </row>
    <row r="21" spans="1:15">
      <c r="A21" s="85"/>
      <c r="B21" s="87"/>
      <c r="C21" s="85"/>
      <c r="D21" s="85"/>
      <c r="E21" s="85"/>
      <c r="F21" s="85"/>
      <c r="G21" s="85"/>
      <c r="H21" s="85"/>
      <c r="I21" s="85"/>
      <c r="J21" s="85"/>
      <c r="K21" s="85"/>
    </row>
    <row r="22" spans="1:15">
      <c r="A22" s="85"/>
      <c r="B22" s="87"/>
      <c r="C22" s="85"/>
      <c r="D22" s="85"/>
      <c r="E22" s="85"/>
      <c r="F22" s="85"/>
      <c r="G22" s="85"/>
      <c r="H22" s="85"/>
      <c r="I22" s="85"/>
      <c r="J22" s="85"/>
      <c r="K22" s="85"/>
    </row>
    <row r="23" spans="1:15">
      <c r="A23" s="85"/>
      <c r="B23" s="87"/>
      <c r="C23" s="85"/>
      <c r="D23" s="85"/>
      <c r="E23" s="85"/>
      <c r="F23" s="85"/>
      <c r="G23" s="85"/>
      <c r="H23" s="85"/>
      <c r="I23" s="85"/>
      <c r="J23" s="85"/>
      <c r="K23" s="85"/>
    </row>
    <row r="24" spans="1:15">
      <c r="A24" s="85"/>
      <c r="B24" s="86"/>
      <c r="C24" s="85"/>
      <c r="D24" s="85"/>
      <c r="E24" s="85"/>
      <c r="F24" s="85"/>
      <c r="G24" s="85"/>
      <c r="H24" s="85"/>
      <c r="I24" s="85"/>
      <c r="J24" s="85"/>
      <c r="K24" s="85"/>
    </row>
    <row r="25" spans="1:15">
      <c r="A25" s="85"/>
      <c r="B25" s="86"/>
      <c r="C25" s="85"/>
      <c r="D25" s="85"/>
      <c r="E25" s="85"/>
      <c r="F25" s="85"/>
      <c r="G25" s="85"/>
      <c r="H25" s="85"/>
      <c r="I25" s="85"/>
      <c r="J25" s="85"/>
      <c r="K25" s="85"/>
    </row>
    <row r="26" spans="1:15">
      <c r="A26" s="85"/>
      <c r="B26" s="86"/>
      <c r="C26" s="85"/>
      <c r="D26" s="85"/>
      <c r="E26" s="85"/>
      <c r="F26" s="85"/>
      <c r="G26" s="85"/>
      <c r="H26" s="85"/>
      <c r="I26" s="85"/>
      <c r="J26" s="85"/>
      <c r="K26" s="85"/>
    </row>
    <row r="27" spans="1:15">
      <c r="A27" s="85"/>
      <c r="B27" s="86"/>
      <c r="C27" s="85"/>
      <c r="D27" s="85"/>
      <c r="E27" s="85"/>
      <c r="F27" s="85"/>
      <c r="G27" s="85"/>
      <c r="H27" s="85"/>
      <c r="I27" s="85"/>
      <c r="J27" s="85"/>
      <c r="K27" s="85"/>
    </row>
    <row r="28" spans="1:15">
      <c r="A28" s="85"/>
      <c r="B28" s="86"/>
      <c r="C28" s="85"/>
      <c r="D28" s="85"/>
      <c r="E28" s="85"/>
      <c r="F28" s="85"/>
      <c r="G28" s="85"/>
      <c r="H28" s="85"/>
      <c r="I28" s="85"/>
      <c r="J28" s="85"/>
      <c r="K28" s="85"/>
    </row>
    <row r="29" spans="1:15">
      <c r="A29" s="85"/>
      <c r="B29" s="87"/>
      <c r="C29" s="85"/>
      <c r="D29" s="85"/>
      <c r="E29" s="85"/>
      <c r="F29" s="85"/>
      <c r="G29" s="85"/>
      <c r="H29" s="85"/>
      <c r="I29" s="85"/>
      <c r="J29" s="85"/>
      <c r="K29" s="85"/>
    </row>
    <row r="30" spans="1:15">
      <c r="A30" s="85"/>
      <c r="B30" s="87"/>
      <c r="C30" s="85"/>
      <c r="D30" s="85"/>
      <c r="E30" s="85"/>
      <c r="F30" s="85"/>
      <c r="G30" s="85"/>
      <c r="H30" s="85"/>
      <c r="I30" s="85"/>
      <c r="J30" s="85"/>
      <c r="K30" s="85"/>
    </row>
    <row r="31" spans="1:15">
      <c r="A31" s="85"/>
      <c r="B31" s="86"/>
      <c r="C31" s="85"/>
      <c r="D31" s="85"/>
      <c r="E31" s="85"/>
      <c r="F31" s="85"/>
      <c r="G31" s="85"/>
      <c r="H31" s="85"/>
      <c r="I31" s="85"/>
      <c r="J31" s="85"/>
      <c r="K31" s="85"/>
    </row>
    <row r="32" spans="1:15">
      <c r="A32" s="85"/>
      <c r="B32" s="86"/>
      <c r="C32" s="85"/>
      <c r="D32" s="85"/>
      <c r="E32" s="85"/>
      <c r="F32" s="85"/>
      <c r="G32" s="85"/>
      <c r="H32" s="85"/>
      <c r="I32" s="85"/>
      <c r="J32" s="85"/>
      <c r="K32" s="85"/>
    </row>
    <row r="33" spans="1:11">
      <c r="A33" s="85"/>
      <c r="B33" s="86"/>
      <c r="C33" s="85"/>
      <c r="D33" s="85"/>
      <c r="E33" s="85"/>
      <c r="F33" s="85"/>
      <c r="G33" s="85"/>
      <c r="H33" s="85"/>
      <c r="I33" s="85"/>
      <c r="J33" s="85"/>
      <c r="K33" s="85"/>
    </row>
    <row r="34" spans="1:11">
      <c r="A34" s="85"/>
      <c r="B34" s="87"/>
      <c r="C34" s="85"/>
      <c r="D34" s="85"/>
      <c r="E34" s="85"/>
      <c r="F34" s="85"/>
      <c r="G34" s="85"/>
      <c r="H34" s="85"/>
      <c r="I34" s="85"/>
      <c r="J34" s="85"/>
      <c r="K34" s="85"/>
    </row>
    <row r="35" spans="1:11">
      <c r="A35" s="85"/>
      <c r="B35" s="86"/>
      <c r="C35" s="85"/>
      <c r="D35" s="85"/>
      <c r="E35" s="85"/>
      <c r="F35" s="85"/>
      <c r="G35" s="85"/>
      <c r="H35" s="85"/>
      <c r="I35" s="85"/>
      <c r="J35" s="85"/>
      <c r="K35" s="85"/>
    </row>
    <row r="36" spans="1:11">
      <c r="A36" s="85"/>
      <c r="B36" s="85"/>
      <c r="C36" s="85"/>
      <c r="D36" s="85"/>
      <c r="E36" s="85"/>
      <c r="F36" s="85"/>
      <c r="G36" s="85"/>
      <c r="H36" s="85"/>
      <c r="I36" s="85"/>
      <c r="J36" s="85"/>
      <c r="K36" s="85"/>
    </row>
    <row r="37" spans="1:11">
      <c r="A37" s="85"/>
      <c r="B37" s="85"/>
      <c r="C37" s="85"/>
      <c r="D37" s="85"/>
      <c r="E37" s="85"/>
      <c r="F37" s="85"/>
      <c r="G37" s="85"/>
      <c r="H37" s="85"/>
      <c r="I37" s="85"/>
      <c r="J37" s="85"/>
      <c r="K37" s="85"/>
    </row>
    <row r="38" spans="1:11">
      <c r="A38" s="85"/>
      <c r="B38" s="85"/>
      <c r="C38" s="85"/>
      <c r="D38" s="85"/>
      <c r="E38" s="85"/>
      <c r="F38" s="85"/>
      <c r="G38" s="85"/>
      <c r="H38" s="85"/>
      <c r="I38" s="85"/>
      <c r="J38" s="85"/>
      <c r="K38" s="85"/>
    </row>
    <row r="39" spans="1:11">
      <c r="A39" s="85"/>
      <c r="B39" s="85"/>
      <c r="C39" s="85"/>
      <c r="D39" s="85"/>
      <c r="E39" s="85"/>
      <c r="F39" s="85"/>
      <c r="G39" s="85"/>
      <c r="H39" s="85"/>
      <c r="I39" s="85"/>
      <c r="J39" s="85"/>
      <c r="K39" s="85"/>
    </row>
    <row r="40" spans="1:11">
      <c r="A40" s="85"/>
      <c r="B40" s="85"/>
      <c r="C40" s="85"/>
      <c r="D40" s="85"/>
      <c r="E40" s="85"/>
      <c r="F40" s="85"/>
      <c r="G40" s="85"/>
      <c r="H40" s="85"/>
      <c r="I40" s="85"/>
      <c r="J40" s="85"/>
      <c r="K40" s="85"/>
    </row>
    <row r="41" spans="1:11">
      <c r="A41" s="85"/>
      <c r="B41" s="85"/>
      <c r="C41" s="85"/>
      <c r="D41" s="85"/>
      <c r="E41" s="85"/>
      <c r="F41" s="85"/>
      <c r="G41" s="85"/>
      <c r="H41" s="85"/>
      <c r="I41" s="85"/>
      <c r="J41" s="85"/>
      <c r="K41" s="85"/>
    </row>
    <row r="42" spans="1:11">
      <c r="A42" s="85"/>
      <c r="B42" s="88"/>
      <c r="C42" s="85"/>
      <c r="D42" s="85"/>
      <c r="E42" s="85"/>
      <c r="F42" s="85"/>
      <c r="G42" s="85"/>
      <c r="H42" s="85"/>
      <c r="I42" s="85"/>
      <c r="J42" s="85"/>
      <c r="K42" s="85"/>
    </row>
    <row r="43" spans="1:11">
      <c r="A43" s="85"/>
      <c r="B43" s="85"/>
      <c r="C43" s="85"/>
      <c r="D43" s="85"/>
      <c r="E43" s="85"/>
      <c r="F43" s="85"/>
      <c r="G43" s="85"/>
      <c r="H43" s="85"/>
      <c r="I43" s="85"/>
      <c r="J43" s="85"/>
      <c r="K43" s="85"/>
    </row>
    <row r="44" spans="1:11">
      <c r="A44" s="85"/>
      <c r="B44" s="85"/>
      <c r="C44" s="85"/>
      <c r="D44" s="85"/>
      <c r="E44" s="85"/>
      <c r="F44" s="85"/>
      <c r="G44" s="85"/>
      <c r="H44" s="85"/>
      <c r="I44" s="85"/>
      <c r="J44" s="85"/>
      <c r="K44" s="85"/>
    </row>
    <row r="45" spans="1:11">
      <c r="A45" s="85"/>
      <c r="B45" s="85"/>
      <c r="C45" s="85"/>
      <c r="D45" s="85"/>
      <c r="E45" s="85"/>
      <c r="F45" s="85"/>
      <c r="G45" s="85"/>
      <c r="H45" s="85"/>
      <c r="I45" s="85"/>
      <c r="J45" s="85"/>
      <c r="K45" s="85"/>
    </row>
    <row r="46" spans="1:11">
      <c r="A46" s="85"/>
      <c r="B46" s="85"/>
      <c r="C46" s="85"/>
      <c r="D46" s="85"/>
      <c r="E46" s="85"/>
      <c r="F46" s="85"/>
      <c r="G46" s="85"/>
      <c r="H46" s="85"/>
      <c r="I46" s="85"/>
      <c r="J46" s="85"/>
      <c r="K46" s="85"/>
    </row>
    <row r="47" spans="1:11">
      <c r="A47" s="85"/>
      <c r="B47" s="85"/>
      <c r="C47" s="85"/>
      <c r="D47" s="85"/>
      <c r="E47" s="85"/>
      <c r="F47" s="85"/>
      <c r="G47" s="85"/>
      <c r="H47" s="85"/>
      <c r="I47" s="85"/>
      <c r="J47" s="85"/>
      <c r="K47" s="85"/>
    </row>
    <row r="48" spans="1:11">
      <c r="A48" s="85"/>
      <c r="B48" s="85"/>
      <c r="C48" s="85"/>
      <c r="D48" s="85"/>
      <c r="E48" s="85"/>
      <c r="F48" s="85"/>
      <c r="G48" s="85"/>
      <c r="H48" s="85"/>
      <c r="I48" s="85"/>
      <c r="J48" s="85"/>
      <c r="K48" s="85"/>
    </row>
    <row r="49" spans="1:11">
      <c r="A49" s="85"/>
      <c r="B49" s="85"/>
      <c r="C49" s="85"/>
      <c r="D49" s="85"/>
      <c r="E49" s="85"/>
      <c r="F49" s="85"/>
      <c r="G49" s="85"/>
      <c r="H49" s="85"/>
      <c r="I49" s="85"/>
      <c r="J49" s="85"/>
      <c r="K49" s="85"/>
    </row>
    <row r="50" spans="1:11">
      <c r="A50" s="85"/>
      <c r="B50" s="85"/>
      <c r="C50" s="85"/>
      <c r="D50" s="85"/>
      <c r="E50" s="85"/>
      <c r="F50" s="85"/>
      <c r="G50" s="85"/>
      <c r="H50" s="85"/>
      <c r="I50" s="85"/>
      <c r="J50" s="85"/>
      <c r="K50" s="85"/>
    </row>
    <row r="51" spans="1:11">
      <c r="A51" s="85"/>
      <c r="B51" s="85"/>
      <c r="C51" s="85"/>
      <c r="D51" s="85"/>
      <c r="E51" s="85"/>
      <c r="F51" s="85"/>
      <c r="G51" s="85"/>
      <c r="H51" s="85"/>
      <c r="I51" s="85"/>
      <c r="J51" s="85"/>
      <c r="K51" s="85"/>
    </row>
    <row r="52" spans="1:11">
      <c r="A52" s="85"/>
      <c r="B52" s="85"/>
      <c r="C52" s="85"/>
      <c r="D52" s="85"/>
      <c r="E52" s="85"/>
      <c r="F52" s="85"/>
      <c r="G52" s="85"/>
      <c r="H52" s="85"/>
      <c r="I52" s="85"/>
      <c r="J52" s="85"/>
      <c r="K52" s="85"/>
    </row>
    <row r="53" spans="1:11">
      <c r="A53" s="85"/>
      <c r="B53" s="85"/>
      <c r="C53" s="85"/>
      <c r="D53" s="85"/>
      <c r="E53" s="85"/>
      <c r="F53" s="85"/>
      <c r="G53" s="85"/>
      <c r="H53" s="85"/>
      <c r="I53" s="85"/>
      <c r="J53" s="85"/>
      <c r="K53" s="85"/>
    </row>
    <row r="54" spans="1:11">
      <c r="A54" s="85"/>
      <c r="B54" s="85"/>
      <c r="C54" s="85"/>
      <c r="D54" s="85"/>
      <c r="E54" s="85"/>
      <c r="F54" s="85"/>
      <c r="G54" s="85"/>
      <c r="H54" s="85"/>
      <c r="I54" s="85"/>
      <c r="J54" s="85"/>
      <c r="K54" s="85"/>
    </row>
    <row r="55" spans="1:11">
      <c r="A55" s="85"/>
      <c r="B55" s="85"/>
      <c r="C55" s="85"/>
      <c r="D55" s="85"/>
      <c r="E55" s="85"/>
      <c r="F55" s="85"/>
      <c r="G55" s="85"/>
      <c r="H55" s="85"/>
      <c r="I55" s="85"/>
      <c r="J55" s="85"/>
      <c r="K55" s="85"/>
    </row>
    <row r="56" spans="1:11">
      <c r="A56" s="85"/>
      <c r="B56" s="85"/>
      <c r="C56" s="85"/>
      <c r="D56" s="85"/>
      <c r="E56" s="85"/>
      <c r="F56" s="85"/>
      <c r="G56" s="85"/>
      <c r="H56" s="85"/>
      <c r="I56" s="85"/>
      <c r="J56" s="85"/>
      <c r="K56" s="85"/>
    </row>
    <row r="57" spans="1:11">
      <c r="A57" s="85"/>
      <c r="B57" s="85"/>
      <c r="C57" s="85"/>
      <c r="D57" s="85"/>
      <c r="E57" s="85"/>
      <c r="F57" s="85"/>
      <c r="G57" s="85"/>
      <c r="H57" s="85"/>
      <c r="I57" s="85"/>
      <c r="J57" s="85"/>
      <c r="K57" s="85"/>
    </row>
    <row r="58" spans="1:11">
      <c r="A58" s="85"/>
      <c r="B58" s="85"/>
      <c r="C58" s="85"/>
      <c r="D58" s="85"/>
      <c r="E58" s="85"/>
      <c r="F58" s="85"/>
      <c r="G58" s="85"/>
      <c r="H58" s="85"/>
      <c r="I58" s="85"/>
      <c r="J58" s="85"/>
      <c r="K58" s="85"/>
    </row>
    <row r="59" spans="1:11">
      <c r="A59" s="85"/>
      <c r="B59" s="85"/>
      <c r="C59" s="85"/>
      <c r="D59" s="85"/>
      <c r="E59" s="85"/>
      <c r="F59" s="85"/>
      <c r="G59" s="85"/>
      <c r="H59" s="85"/>
      <c r="I59" s="85"/>
      <c r="J59" s="85"/>
      <c r="K59" s="85"/>
    </row>
    <row r="60" spans="1:11">
      <c r="A60" s="85"/>
      <c r="B60" s="85"/>
      <c r="C60" s="85"/>
      <c r="D60" s="85"/>
      <c r="E60" s="85"/>
      <c r="F60" s="85"/>
      <c r="G60" s="85"/>
      <c r="H60" s="85"/>
      <c r="I60" s="85"/>
      <c r="J60" s="85"/>
      <c r="K60" s="85"/>
    </row>
    <row r="61" spans="1:11">
      <c r="A61" s="85"/>
      <c r="B61" s="85"/>
      <c r="C61" s="85"/>
      <c r="D61" s="85"/>
      <c r="E61" s="85"/>
      <c r="F61" s="85"/>
      <c r="G61" s="85"/>
      <c r="H61" s="85"/>
      <c r="I61" s="85"/>
      <c r="J61" s="85"/>
      <c r="K61" s="85"/>
    </row>
    <row r="62" spans="1:11">
      <c r="A62" s="85"/>
      <c r="B62" s="85"/>
      <c r="C62" s="85"/>
      <c r="D62" s="85"/>
      <c r="E62" s="85"/>
      <c r="F62" s="85"/>
      <c r="G62" s="85"/>
      <c r="H62" s="85"/>
      <c r="I62" s="85"/>
      <c r="J62" s="85"/>
      <c r="K62" s="85"/>
    </row>
    <row r="63" spans="1:11">
      <c r="A63" s="85"/>
      <c r="B63" s="85"/>
      <c r="C63" s="85"/>
      <c r="D63" s="85"/>
      <c r="E63" s="85"/>
      <c r="F63" s="85"/>
      <c r="G63" s="85"/>
      <c r="H63" s="85"/>
      <c r="I63" s="85"/>
      <c r="J63" s="85"/>
      <c r="K63" s="85"/>
    </row>
    <row r="64" spans="1:11">
      <c r="A64" s="85"/>
      <c r="B64" s="85"/>
      <c r="C64" s="85"/>
      <c r="D64" s="85"/>
      <c r="E64" s="85"/>
      <c r="F64" s="85"/>
      <c r="G64" s="85"/>
      <c r="H64" s="85"/>
      <c r="I64" s="85"/>
      <c r="J64" s="85"/>
      <c r="K64" s="85"/>
    </row>
    <row r="65" spans="1:11">
      <c r="A65" s="85"/>
      <c r="B65" s="85"/>
      <c r="C65" s="85"/>
      <c r="D65" s="85"/>
      <c r="E65" s="85"/>
      <c r="F65" s="85"/>
      <c r="G65" s="85"/>
      <c r="H65" s="85"/>
      <c r="I65" s="85"/>
      <c r="J65" s="85"/>
      <c r="K65" s="85"/>
    </row>
    <row r="66" spans="1:11">
      <c r="A66" s="85"/>
      <c r="B66" s="85"/>
      <c r="C66" s="85"/>
      <c r="D66" s="85"/>
      <c r="E66" s="85"/>
      <c r="F66" s="85"/>
      <c r="G66" s="85"/>
      <c r="H66" s="85"/>
      <c r="I66" s="85"/>
      <c r="J66" s="85"/>
      <c r="K66" s="85"/>
    </row>
    <row r="67" spans="1:11">
      <c r="A67" s="85"/>
      <c r="B67" s="85"/>
      <c r="C67" s="85"/>
      <c r="D67" s="85"/>
      <c r="E67" s="85"/>
      <c r="F67" s="85"/>
      <c r="G67" s="85"/>
      <c r="H67" s="85"/>
      <c r="I67" s="85"/>
      <c r="J67" s="85"/>
      <c r="K67" s="85"/>
    </row>
    <row r="68" spans="1:11">
      <c r="A68" s="85"/>
      <c r="B68" s="85"/>
      <c r="C68" s="85"/>
      <c r="D68" s="85"/>
      <c r="E68" s="85"/>
      <c r="F68" s="85"/>
      <c r="G68" s="85"/>
      <c r="H68" s="85"/>
      <c r="I68" s="85"/>
      <c r="J68" s="85"/>
      <c r="K68" s="85"/>
    </row>
    <row r="69" spans="1:11">
      <c r="A69" s="85"/>
      <c r="B69" s="85"/>
      <c r="C69" s="85"/>
      <c r="D69" s="85"/>
      <c r="E69" s="85"/>
      <c r="F69" s="85"/>
      <c r="G69" s="85"/>
      <c r="H69" s="85"/>
      <c r="I69" s="85"/>
      <c r="J69" s="85"/>
      <c r="K69" s="85"/>
    </row>
    <row r="70" spans="1:11">
      <c r="A70" s="85"/>
      <c r="B70" s="85"/>
      <c r="C70" s="85"/>
      <c r="D70" s="85"/>
      <c r="E70" s="85"/>
      <c r="F70" s="85"/>
      <c r="G70" s="85"/>
      <c r="H70" s="85"/>
      <c r="I70" s="85"/>
      <c r="J70" s="85"/>
      <c r="K70" s="85"/>
    </row>
    <row r="71" spans="1:11">
      <c r="A71" s="85"/>
      <c r="B71" s="85"/>
      <c r="C71" s="85"/>
      <c r="D71" s="85"/>
      <c r="E71" s="85"/>
      <c r="F71" s="85"/>
      <c r="G71" s="85"/>
      <c r="H71" s="85"/>
      <c r="I71" s="85"/>
      <c r="J71" s="85"/>
      <c r="K71" s="85"/>
    </row>
    <row r="72" spans="1:11">
      <c r="A72" s="85"/>
      <c r="B72" s="85"/>
      <c r="C72" s="85"/>
      <c r="D72" s="85"/>
      <c r="E72" s="85"/>
      <c r="F72" s="85"/>
      <c r="G72" s="85"/>
      <c r="H72" s="85"/>
      <c r="I72" s="85"/>
      <c r="J72" s="85"/>
      <c r="K72" s="85"/>
    </row>
    <row r="73" spans="1:11">
      <c r="A73" s="85"/>
      <c r="B73" s="85"/>
      <c r="C73" s="85"/>
      <c r="D73" s="85"/>
      <c r="E73" s="85"/>
      <c r="F73" s="85"/>
      <c r="G73" s="85"/>
      <c r="H73" s="85"/>
      <c r="I73" s="85"/>
      <c r="J73" s="85"/>
      <c r="K73" s="85"/>
    </row>
    <row r="74" spans="1:11">
      <c r="A74" s="85"/>
      <c r="B74" s="85"/>
      <c r="C74" s="85"/>
      <c r="D74" s="85"/>
      <c r="E74" s="85"/>
      <c r="F74" s="85"/>
      <c r="G74" s="85"/>
      <c r="H74" s="85"/>
      <c r="I74" s="85"/>
      <c r="J74" s="85"/>
      <c r="K74" s="85"/>
    </row>
    <row r="75" spans="1:11">
      <c r="A75" s="85"/>
      <c r="B75" s="85"/>
      <c r="C75" s="85"/>
      <c r="D75" s="85"/>
      <c r="E75" s="85"/>
      <c r="F75" s="85"/>
      <c r="G75" s="85"/>
      <c r="H75" s="85"/>
      <c r="I75" s="85"/>
      <c r="J75" s="85"/>
      <c r="K75" s="85"/>
    </row>
    <row r="76" spans="1:11">
      <c r="A76" s="85"/>
      <c r="B76" s="85"/>
      <c r="C76" s="85"/>
      <c r="D76" s="85"/>
      <c r="E76" s="85"/>
      <c r="F76" s="85"/>
      <c r="G76" s="85"/>
      <c r="H76" s="85"/>
      <c r="I76" s="85"/>
      <c r="J76" s="85"/>
      <c r="K76" s="85"/>
    </row>
    <row r="77" spans="1:11">
      <c r="A77" s="85"/>
      <c r="B77" s="85"/>
      <c r="C77" s="85"/>
      <c r="D77" s="85"/>
      <c r="E77" s="85"/>
      <c r="F77" s="85"/>
      <c r="G77" s="85"/>
      <c r="H77" s="85"/>
      <c r="I77" s="85"/>
      <c r="J77" s="85"/>
      <c r="K77" s="85"/>
    </row>
    <row r="78" spans="1:11">
      <c r="A78" s="85"/>
      <c r="B78" s="85"/>
      <c r="C78" s="85"/>
      <c r="D78" s="85"/>
      <c r="E78" s="85"/>
      <c r="F78" s="85"/>
      <c r="G78" s="85"/>
      <c r="H78" s="85"/>
      <c r="I78" s="85"/>
      <c r="J78" s="85"/>
      <c r="K78" s="85"/>
    </row>
    <row r="79" spans="1:11">
      <c r="A79" s="85"/>
      <c r="B79" s="85"/>
      <c r="C79" s="85"/>
      <c r="D79" s="85"/>
      <c r="E79" s="85"/>
      <c r="F79" s="85"/>
      <c r="G79" s="85"/>
      <c r="H79" s="85"/>
      <c r="I79" s="85"/>
      <c r="J79" s="85"/>
      <c r="K79" s="85"/>
    </row>
    <row r="80" spans="1:11">
      <c r="A80" s="85"/>
      <c r="B80" s="85"/>
      <c r="C80" s="85"/>
      <c r="D80" s="85"/>
      <c r="E80" s="85"/>
      <c r="F80" s="85"/>
      <c r="G80" s="85"/>
      <c r="H80" s="85"/>
      <c r="I80" s="85"/>
      <c r="J80" s="85"/>
      <c r="K80" s="85"/>
    </row>
    <row r="81" spans="1:11">
      <c r="A81" s="85"/>
      <c r="B81" s="85"/>
      <c r="C81" s="85"/>
      <c r="D81" s="85"/>
      <c r="E81" s="85"/>
      <c r="F81" s="85"/>
      <c r="G81" s="85"/>
      <c r="H81" s="85"/>
      <c r="I81" s="85"/>
      <c r="J81" s="85"/>
      <c r="K81" s="85"/>
    </row>
    <row r="82" spans="1:11">
      <c r="A82" s="85"/>
      <c r="B82" s="85"/>
      <c r="C82" s="85"/>
      <c r="D82" s="85"/>
      <c r="E82" s="85"/>
      <c r="F82" s="85"/>
      <c r="G82" s="85"/>
      <c r="H82" s="85"/>
      <c r="I82" s="85"/>
      <c r="J82" s="85"/>
      <c r="K82" s="85"/>
    </row>
    <row r="83" spans="1:11">
      <c r="A83" s="85"/>
      <c r="B83" s="85"/>
      <c r="C83" s="85"/>
      <c r="D83" s="85"/>
      <c r="E83" s="85"/>
      <c r="F83" s="85"/>
      <c r="G83" s="85"/>
      <c r="H83" s="85"/>
      <c r="I83" s="85"/>
      <c r="J83" s="85"/>
      <c r="K83" s="85"/>
    </row>
    <row r="84" spans="1:11">
      <c r="A84" s="85"/>
      <c r="B84" s="85"/>
      <c r="C84" s="85"/>
      <c r="D84" s="85"/>
      <c r="E84" s="85"/>
      <c r="F84" s="85"/>
      <c r="G84" s="85"/>
      <c r="H84" s="85"/>
      <c r="I84" s="85"/>
      <c r="J84" s="85"/>
      <c r="K84" s="85"/>
    </row>
    <row r="85" spans="1:11">
      <c r="A85" s="85"/>
      <c r="B85" s="85"/>
      <c r="C85" s="85"/>
      <c r="D85" s="85"/>
      <c r="E85" s="85"/>
      <c r="F85" s="85"/>
      <c r="G85" s="85"/>
      <c r="H85" s="85"/>
      <c r="I85" s="85"/>
      <c r="J85" s="85"/>
      <c r="K85" s="85"/>
    </row>
    <row r="86" spans="1:11">
      <c r="A86" s="85"/>
      <c r="B86" s="85"/>
      <c r="C86" s="85"/>
      <c r="D86" s="85"/>
      <c r="E86" s="85"/>
      <c r="F86" s="85"/>
      <c r="G86" s="85"/>
      <c r="H86" s="85"/>
      <c r="I86" s="85"/>
      <c r="J86" s="85"/>
      <c r="K86" s="85"/>
    </row>
    <row r="87" spans="1:11">
      <c r="A87" s="85"/>
      <c r="B87" s="85"/>
      <c r="C87" s="85"/>
      <c r="D87" s="85"/>
      <c r="E87" s="85"/>
      <c r="F87" s="85"/>
      <c r="G87" s="85"/>
      <c r="H87" s="85"/>
      <c r="I87" s="85"/>
      <c r="J87" s="85"/>
      <c r="K87" s="85"/>
    </row>
    <row r="88" spans="1:11">
      <c r="A88" s="85"/>
      <c r="B88" s="85"/>
      <c r="C88" s="85"/>
      <c r="D88" s="85"/>
      <c r="E88" s="85"/>
      <c r="F88" s="85"/>
      <c r="G88" s="85"/>
      <c r="H88" s="85"/>
      <c r="I88" s="85"/>
      <c r="J88" s="85"/>
      <c r="K88" s="85"/>
    </row>
    <row r="89" spans="1:11">
      <c r="A89" s="85"/>
      <c r="B89" s="85"/>
      <c r="C89" s="85"/>
      <c r="D89" s="85"/>
      <c r="E89" s="85"/>
      <c r="F89" s="85"/>
      <c r="G89" s="85"/>
      <c r="H89" s="85"/>
      <c r="I89" s="85"/>
      <c r="J89" s="85"/>
      <c r="K89" s="85"/>
    </row>
    <row r="90" spans="1:11">
      <c r="A90" s="85"/>
      <c r="B90" s="85"/>
      <c r="C90" s="85"/>
      <c r="D90" s="85"/>
      <c r="E90" s="85"/>
      <c r="F90" s="85"/>
      <c r="G90" s="85"/>
      <c r="H90" s="85"/>
      <c r="I90" s="85"/>
      <c r="J90" s="85"/>
      <c r="K90" s="85"/>
    </row>
    <row r="91" spans="1:11">
      <c r="A91" s="85"/>
      <c r="B91" s="85"/>
      <c r="C91" s="85"/>
      <c r="D91" s="85"/>
      <c r="E91" s="85"/>
      <c r="F91" s="85"/>
      <c r="G91" s="85"/>
      <c r="H91" s="85"/>
      <c r="I91" s="85"/>
      <c r="J91" s="85"/>
      <c r="K91" s="85"/>
    </row>
    <row r="92" spans="1:11">
      <c r="A92" s="85"/>
      <c r="B92" s="85"/>
      <c r="C92" s="85"/>
      <c r="D92" s="85"/>
      <c r="E92" s="85"/>
      <c r="F92" s="85"/>
      <c r="G92" s="85"/>
      <c r="H92" s="85"/>
      <c r="I92" s="85"/>
      <c r="J92" s="85"/>
      <c r="K92" s="85"/>
    </row>
    <row r="93" spans="1:11">
      <c r="A93" s="85"/>
      <c r="B93" s="85"/>
      <c r="C93" s="85"/>
      <c r="D93" s="85"/>
      <c r="E93" s="85"/>
      <c r="F93" s="85"/>
      <c r="G93" s="85"/>
      <c r="H93" s="85"/>
      <c r="I93" s="85"/>
      <c r="J93" s="85"/>
      <c r="K93" s="85"/>
    </row>
    <row r="94" spans="1:11">
      <c r="A94" s="85"/>
      <c r="B94" s="85"/>
      <c r="C94" s="85"/>
      <c r="D94" s="85"/>
      <c r="E94" s="85"/>
      <c r="F94" s="85"/>
      <c r="G94" s="85"/>
      <c r="H94" s="85"/>
      <c r="I94" s="85"/>
      <c r="J94" s="85"/>
      <c r="K94" s="85"/>
    </row>
    <row r="95" spans="1:11">
      <c r="A95" s="85"/>
      <c r="B95" s="85"/>
      <c r="C95" s="85"/>
      <c r="D95" s="85"/>
      <c r="E95" s="85"/>
      <c r="F95" s="85"/>
      <c r="G95" s="85"/>
      <c r="H95" s="85"/>
      <c r="I95" s="85"/>
      <c r="J95" s="85"/>
      <c r="K95" s="85"/>
    </row>
    <row r="96" spans="1:11">
      <c r="A96" s="85"/>
      <c r="B96" s="85"/>
      <c r="C96" s="85"/>
      <c r="D96" s="85"/>
      <c r="E96" s="85"/>
      <c r="F96" s="85"/>
      <c r="G96" s="85"/>
      <c r="H96" s="85"/>
      <c r="I96" s="85"/>
      <c r="J96" s="85"/>
      <c r="K96" s="85"/>
    </row>
    <row r="97" spans="1:11">
      <c r="A97" s="85"/>
      <c r="B97" s="85"/>
      <c r="C97" s="85"/>
      <c r="D97" s="85"/>
      <c r="E97" s="85"/>
      <c r="F97" s="85"/>
      <c r="G97" s="85"/>
      <c r="H97" s="85"/>
      <c r="I97" s="85"/>
      <c r="J97" s="85"/>
      <c r="K97" s="85"/>
    </row>
    <row r="98" spans="1:11">
      <c r="A98" s="85"/>
      <c r="B98" s="85"/>
      <c r="C98" s="85"/>
      <c r="D98" s="85"/>
      <c r="E98" s="85"/>
      <c r="F98" s="85"/>
      <c r="G98" s="85"/>
      <c r="H98" s="85"/>
      <c r="I98" s="85"/>
      <c r="J98" s="85"/>
      <c r="K98" s="85"/>
    </row>
    <row r="99" spans="1:11">
      <c r="A99" s="85"/>
      <c r="B99" s="85"/>
      <c r="C99" s="85"/>
      <c r="D99" s="85"/>
      <c r="E99" s="85"/>
      <c r="F99" s="85"/>
      <c r="G99" s="85"/>
      <c r="H99" s="85"/>
      <c r="I99" s="85"/>
      <c r="J99" s="85"/>
      <c r="K99" s="85"/>
    </row>
    <row r="100" spans="1:11">
      <c r="A100" s="85"/>
      <c r="B100" s="85"/>
      <c r="C100" s="85"/>
      <c r="D100" s="85"/>
      <c r="E100" s="85"/>
      <c r="F100" s="85"/>
      <c r="G100" s="85"/>
      <c r="H100" s="85"/>
      <c r="I100" s="85"/>
      <c r="J100" s="85"/>
      <c r="K100" s="85"/>
    </row>
    <row r="101" spans="1:11">
      <c r="A101" s="85"/>
      <c r="B101" s="85"/>
      <c r="C101" s="85"/>
      <c r="D101" s="85"/>
      <c r="E101" s="85"/>
      <c r="F101" s="85"/>
      <c r="G101" s="85"/>
      <c r="H101" s="85"/>
      <c r="I101" s="85"/>
      <c r="J101" s="85"/>
      <c r="K101" s="85"/>
    </row>
    <row r="102" spans="1:11">
      <c r="A102" s="85"/>
      <c r="B102" s="85"/>
      <c r="C102" s="85"/>
      <c r="D102" s="85"/>
      <c r="E102" s="85"/>
      <c r="F102" s="85"/>
      <c r="G102" s="85"/>
      <c r="H102" s="85"/>
      <c r="I102" s="85"/>
      <c r="J102" s="85"/>
      <c r="K102" s="85"/>
    </row>
    <row r="103" spans="1:11">
      <c r="A103" s="85"/>
      <c r="B103" s="85"/>
      <c r="C103" s="85"/>
      <c r="D103" s="85"/>
      <c r="E103" s="85"/>
      <c r="F103" s="85"/>
      <c r="G103" s="85"/>
      <c r="H103" s="85"/>
      <c r="I103" s="85"/>
      <c r="J103" s="85"/>
      <c r="K103" s="85"/>
    </row>
    <row r="104" spans="1:11">
      <c r="A104" s="85"/>
      <c r="B104" s="85"/>
      <c r="C104" s="85"/>
      <c r="D104" s="85"/>
      <c r="E104" s="85"/>
      <c r="F104" s="85"/>
      <c r="G104" s="85"/>
      <c r="H104" s="85"/>
      <c r="I104" s="85"/>
      <c r="J104" s="85"/>
      <c r="K104" s="85"/>
    </row>
    <row r="105" spans="1:11">
      <c r="A105" s="85"/>
      <c r="B105" s="85"/>
      <c r="C105" s="85"/>
      <c r="D105" s="85"/>
      <c r="E105" s="85"/>
      <c r="F105" s="85"/>
      <c r="G105" s="85"/>
      <c r="H105" s="85"/>
      <c r="I105" s="85"/>
      <c r="J105" s="85"/>
      <c r="K105" s="85"/>
    </row>
    <row r="106" spans="1:11">
      <c r="A106" s="85"/>
      <c r="B106" s="85"/>
      <c r="C106" s="85"/>
      <c r="D106" s="85"/>
      <c r="E106" s="85"/>
      <c r="F106" s="85"/>
      <c r="G106" s="85"/>
      <c r="H106" s="85"/>
      <c r="I106" s="85"/>
      <c r="J106" s="85"/>
      <c r="K106" s="85"/>
    </row>
    <row r="107" spans="1:11">
      <c r="A107" s="85"/>
      <c r="B107" s="85"/>
      <c r="C107" s="85"/>
      <c r="D107" s="85"/>
      <c r="E107" s="85"/>
      <c r="F107" s="85"/>
      <c r="G107" s="85"/>
      <c r="H107" s="85"/>
      <c r="I107" s="85"/>
      <c r="J107" s="85"/>
      <c r="K107" s="85"/>
    </row>
    <row r="108" spans="1:11">
      <c r="A108" s="85"/>
      <c r="B108" s="85"/>
      <c r="C108" s="85"/>
      <c r="D108" s="85"/>
      <c r="E108" s="85"/>
      <c r="F108" s="85"/>
      <c r="G108" s="85"/>
      <c r="H108" s="85"/>
      <c r="I108" s="85"/>
      <c r="J108" s="85"/>
      <c r="K108" s="85"/>
    </row>
    <row r="109" spans="1:11">
      <c r="A109" s="85"/>
      <c r="B109" s="85"/>
      <c r="C109" s="85"/>
      <c r="D109" s="85"/>
      <c r="E109" s="85"/>
      <c r="F109" s="85"/>
      <c r="G109" s="85"/>
      <c r="H109" s="85"/>
      <c r="I109" s="85"/>
      <c r="J109" s="85"/>
      <c r="K109" s="85"/>
    </row>
    <row r="110" spans="1:11">
      <c r="A110" s="85"/>
      <c r="B110" s="85"/>
      <c r="C110" s="85"/>
      <c r="D110" s="85"/>
      <c r="E110" s="85"/>
      <c r="F110" s="85"/>
      <c r="G110" s="85"/>
      <c r="H110" s="85"/>
      <c r="I110" s="85"/>
      <c r="J110" s="85"/>
      <c r="K110" s="85"/>
    </row>
    <row r="111" spans="1:11">
      <c r="A111" s="85"/>
      <c r="B111" s="85"/>
      <c r="C111" s="85"/>
      <c r="D111" s="85"/>
      <c r="E111" s="85"/>
      <c r="F111" s="85"/>
      <c r="G111" s="85"/>
      <c r="H111" s="85"/>
      <c r="I111" s="85"/>
      <c r="J111" s="85"/>
      <c r="K111" s="8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70"/>
  <sheetViews>
    <sheetView showGridLines="0" topLeftCell="A29" zoomScale="81" zoomScaleNormal="100" workbookViewId="0">
      <selection activeCell="A57" sqref="A57:A58"/>
    </sheetView>
  </sheetViews>
  <sheetFormatPr baseColWidth="10" defaultColWidth="8.5546875" defaultRowHeight="10.8"/>
  <cols>
    <col min="1" max="1" width="65.5546875" style="1" customWidth="1"/>
    <col min="2" max="5" width="12.6640625" style="59" customWidth="1"/>
    <col min="6" max="6" width="12.6640625" style="1" customWidth="1"/>
    <col min="7" max="7" width="23.66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A1" s="367"/>
      <c r="B1" s="368"/>
      <c r="C1" s="369"/>
      <c r="D1" s="370"/>
      <c r="E1" s="369"/>
      <c r="F1" s="371"/>
      <c r="G1" s="195"/>
    </row>
    <row r="2" spans="1:9" ht="15" customHeight="1">
      <c r="A2" s="135"/>
      <c r="B2" s="132"/>
      <c r="C2" s="132"/>
      <c r="D2" s="132"/>
      <c r="E2" s="132"/>
      <c r="F2" s="135"/>
      <c r="G2" s="18"/>
    </row>
    <row r="3" spans="1:9" ht="15" customHeight="1">
      <c r="A3" s="135"/>
      <c r="B3" s="132"/>
      <c r="C3" s="132"/>
      <c r="D3" s="132"/>
      <c r="E3" s="132"/>
      <c r="F3" s="135"/>
      <c r="G3" s="20"/>
    </row>
    <row r="4" spans="1:9" ht="15" customHeight="1">
      <c r="A4" s="372"/>
      <c r="B4" s="132"/>
      <c r="C4" s="132"/>
      <c r="D4" s="132"/>
      <c r="E4" s="132"/>
      <c r="F4" s="135"/>
      <c r="G4" s="373"/>
    </row>
    <row r="5" spans="1:9" ht="15" customHeight="1">
      <c r="A5" s="94"/>
      <c r="B5" s="95"/>
      <c r="C5" s="95"/>
      <c r="D5" s="95"/>
      <c r="E5" s="95"/>
      <c r="F5" s="94"/>
      <c r="G5" s="94"/>
    </row>
    <row r="6" spans="1:9" s="61" customFormat="1" ht="15" customHeight="1">
      <c r="A6" s="114"/>
      <c r="B6" s="115"/>
      <c r="C6" s="114"/>
      <c r="D6" s="114"/>
      <c r="E6" s="114"/>
      <c r="F6" s="114"/>
      <c r="G6" s="114"/>
      <c r="H6" s="114"/>
      <c r="I6" s="114"/>
    </row>
    <row r="7" spans="1:9" s="61" customFormat="1" ht="15" customHeight="1">
      <c r="B7" s="115"/>
      <c r="C7" s="114"/>
      <c r="D7" s="114"/>
      <c r="E7" s="114"/>
      <c r="F7" s="114"/>
      <c r="G7" s="114"/>
      <c r="H7" s="114"/>
      <c r="I7" s="114"/>
    </row>
    <row r="8" spans="1:9" s="61" customFormat="1" ht="15" customHeight="1">
      <c r="A8" s="114"/>
      <c r="B8" s="115"/>
      <c r="C8" s="114"/>
      <c r="D8" s="114"/>
      <c r="E8" s="114"/>
      <c r="F8" s="114"/>
      <c r="G8" s="114"/>
      <c r="H8" s="114"/>
      <c r="I8" s="114"/>
    </row>
    <row r="9" spans="1:9" s="61" customFormat="1" ht="15" customHeight="1">
      <c r="A9" s="114"/>
      <c r="B9" s="115"/>
      <c r="C9" s="114"/>
      <c r="D9" s="114"/>
      <c r="E9" s="114"/>
      <c r="F9" s="114"/>
      <c r="G9" s="114"/>
      <c r="H9" s="114"/>
      <c r="I9" s="114"/>
    </row>
    <row r="10" spans="1:9" s="61" customFormat="1" ht="15" customHeight="1">
      <c r="A10" s="114"/>
      <c r="B10" s="115"/>
      <c r="C10" s="114"/>
      <c r="D10" s="114"/>
      <c r="E10" s="114"/>
      <c r="F10" s="114"/>
      <c r="G10" s="114"/>
      <c r="H10" s="114"/>
      <c r="I10" s="114"/>
    </row>
    <row r="11" spans="1:9" s="61" customFormat="1" ht="15" customHeight="1">
      <c r="A11" s="114"/>
      <c r="B11" s="115"/>
      <c r="C11" s="114"/>
      <c r="D11" s="114"/>
      <c r="E11" s="114"/>
      <c r="F11" s="114"/>
      <c r="G11" s="114"/>
      <c r="H11" s="114"/>
      <c r="I11" s="114"/>
    </row>
    <row r="12" spans="1:9" s="61" customFormat="1" ht="15" customHeight="1">
      <c r="A12" s="114"/>
      <c r="B12" s="115"/>
      <c r="C12" s="114"/>
      <c r="D12" s="114"/>
      <c r="E12" s="114"/>
      <c r="F12" s="114"/>
      <c r="G12" s="114"/>
      <c r="H12" s="114"/>
      <c r="I12" s="114"/>
    </row>
    <row r="13" spans="1:9" s="61" customFormat="1" ht="15" customHeight="1">
      <c r="A13" s="114"/>
      <c r="B13" s="115"/>
      <c r="C13" s="114"/>
      <c r="D13" s="114"/>
      <c r="E13" s="114"/>
      <c r="F13" s="114"/>
      <c r="G13" s="114"/>
      <c r="H13" s="114"/>
      <c r="I13" s="114"/>
    </row>
    <row r="14" spans="1:9" s="61" customFormat="1" ht="15" customHeight="1">
      <c r="A14" s="114"/>
      <c r="B14" s="115"/>
      <c r="C14" s="114"/>
      <c r="D14" s="114"/>
      <c r="E14" s="114"/>
      <c r="F14" s="114"/>
      <c r="G14" s="114"/>
      <c r="H14" s="114"/>
      <c r="I14" s="114"/>
    </row>
    <row r="15" spans="1:9" s="61" customFormat="1" ht="15" customHeight="1">
      <c r="A15" s="114"/>
      <c r="B15" s="115"/>
      <c r="C15" s="114"/>
      <c r="D15" s="114"/>
      <c r="E15" s="114"/>
      <c r="F15" s="114"/>
      <c r="G15" s="114"/>
      <c r="H15" s="114"/>
      <c r="I15" s="114"/>
    </row>
    <row r="16" spans="1:9" s="61" customFormat="1" ht="15" customHeight="1">
      <c r="A16" s="114"/>
      <c r="B16" s="115"/>
      <c r="C16" s="114"/>
      <c r="D16" s="114"/>
      <c r="E16" s="114"/>
      <c r="F16" s="114"/>
      <c r="G16" s="114"/>
      <c r="H16" s="114"/>
      <c r="I16" s="114"/>
    </row>
    <row r="17" spans="1:12" s="61" customFormat="1" ht="15" customHeight="1">
      <c r="A17" s="114"/>
      <c r="B17" s="115"/>
      <c r="C17" s="114"/>
      <c r="D17" s="114"/>
      <c r="E17" s="114"/>
      <c r="F17" s="114"/>
      <c r="G17" s="114"/>
      <c r="H17" s="114"/>
      <c r="I17" s="114"/>
    </row>
    <row r="18" spans="1:12" s="61" customFormat="1" ht="15" customHeight="1">
      <c r="A18" s="114"/>
      <c r="B18" s="115"/>
      <c r="C18" s="114"/>
      <c r="D18" s="114"/>
      <c r="E18" s="114"/>
      <c r="F18" s="114"/>
      <c r="G18" s="114"/>
      <c r="H18" s="114"/>
      <c r="I18" s="114"/>
    </row>
    <row r="19" spans="1:12" s="61" customFormat="1" ht="15" customHeight="1">
      <c r="A19" s="114"/>
      <c r="B19" s="115"/>
      <c r="C19" s="114"/>
      <c r="D19" s="114"/>
      <c r="E19" s="114"/>
      <c r="F19" s="114"/>
      <c r="G19" s="114"/>
      <c r="H19" s="114"/>
      <c r="I19" s="114"/>
    </row>
    <row r="20" spans="1:12" s="61" customFormat="1" ht="15" customHeight="1">
      <c r="A20" s="114"/>
      <c r="B20" s="115"/>
      <c r="C20" s="114"/>
      <c r="D20" s="114"/>
      <c r="E20" s="114"/>
      <c r="F20" s="114"/>
      <c r="G20" s="114"/>
      <c r="H20" s="114"/>
      <c r="I20" s="114"/>
    </row>
    <row r="21" spans="1:12" s="61" customFormat="1" ht="15" customHeight="1">
      <c r="A21" s="786" t="s">
        <v>219</v>
      </c>
      <c r="B21" s="786"/>
      <c r="C21" s="786"/>
      <c r="D21" s="786"/>
      <c r="E21" s="786"/>
      <c r="F21" s="786"/>
      <c r="G21" s="786"/>
      <c r="H21" s="374"/>
    </row>
    <row r="22" spans="1:12" s="61" customFormat="1" ht="15" customHeight="1">
      <c r="A22" s="786"/>
      <c r="B22" s="786"/>
      <c r="C22" s="786"/>
      <c r="D22" s="786"/>
      <c r="E22" s="786"/>
      <c r="F22" s="786"/>
      <c r="G22" s="786"/>
      <c r="H22" s="374"/>
    </row>
    <row r="23" spans="1:12" s="61" customFormat="1" ht="15" customHeight="1">
      <c r="A23" s="786"/>
      <c r="B23" s="786"/>
      <c r="C23" s="786"/>
      <c r="D23" s="786"/>
      <c r="E23" s="786"/>
      <c r="F23" s="786"/>
      <c r="G23" s="786"/>
      <c r="H23" s="374"/>
    </row>
    <row r="24" spans="1:12" s="61" customFormat="1" ht="15" customHeight="1">
      <c r="A24" s="786"/>
      <c r="B24" s="786"/>
      <c r="C24" s="786"/>
      <c r="D24" s="786"/>
      <c r="E24" s="786"/>
      <c r="F24" s="786"/>
      <c r="G24" s="786"/>
      <c r="H24" s="374"/>
    </row>
    <row r="25" spans="1:12" s="61" customFormat="1" ht="15" customHeight="1">
      <c r="A25" s="786"/>
      <c r="B25" s="786"/>
      <c r="C25" s="786"/>
      <c r="D25" s="786"/>
      <c r="E25" s="786"/>
      <c r="F25" s="786"/>
      <c r="G25" s="786"/>
      <c r="H25" s="374"/>
    </row>
    <row r="26" spans="1:12" s="61" customFormat="1" ht="15" customHeight="1">
      <c r="A26" s="786"/>
      <c r="B26" s="786"/>
      <c r="C26" s="786"/>
      <c r="D26" s="786"/>
      <c r="E26" s="786"/>
      <c r="F26" s="786"/>
      <c r="G26" s="786"/>
      <c r="H26" s="374"/>
    </row>
    <row r="27" spans="1:12" s="61" customFormat="1" ht="15" customHeight="1">
      <c r="A27" s="786"/>
      <c r="B27" s="786"/>
      <c r="C27" s="786"/>
      <c r="D27" s="786"/>
      <c r="E27" s="786"/>
      <c r="F27" s="786"/>
      <c r="G27" s="786"/>
      <c r="H27" s="374"/>
    </row>
    <row r="28" spans="1:12" s="61" customFormat="1" ht="15" customHeight="1">
      <c r="A28" s="786"/>
      <c r="B28" s="786"/>
      <c r="C28" s="786"/>
      <c r="D28" s="786"/>
      <c r="E28" s="786"/>
      <c r="F28" s="786"/>
      <c r="G28" s="786"/>
      <c r="H28" s="374"/>
    </row>
    <row r="29" spans="1:12" s="61" customFormat="1" ht="75" customHeight="1">
      <c r="A29" s="786"/>
      <c r="B29" s="786"/>
      <c r="C29" s="786"/>
      <c r="D29" s="786"/>
      <c r="E29" s="786"/>
      <c r="F29" s="786"/>
      <c r="G29" s="786"/>
      <c r="H29" s="374"/>
    </row>
    <row r="30" spans="1:12" ht="15" customHeight="1">
      <c r="A30" s="375"/>
      <c r="B30" s="132"/>
      <c r="C30" s="132"/>
      <c r="D30" s="132"/>
      <c r="E30" s="132"/>
      <c r="F30" s="135"/>
      <c r="G30" s="79"/>
    </row>
    <row r="31" spans="1:12" ht="15" customHeight="1">
      <c r="A31" s="738" t="s">
        <v>156</v>
      </c>
      <c r="B31" s="738"/>
      <c r="C31" s="738"/>
      <c r="D31" s="738"/>
      <c r="E31" s="132"/>
      <c r="F31" s="135"/>
      <c r="G31" s="20"/>
    </row>
    <row r="32" spans="1:12" ht="15" customHeight="1" thickBot="1">
      <c r="A32" s="739"/>
      <c r="B32" s="739"/>
      <c r="C32" s="739"/>
      <c r="D32" s="739"/>
      <c r="E32" s="16"/>
      <c r="F32" s="28"/>
      <c r="G32" s="119"/>
      <c r="H32" s="3"/>
      <c r="I32" s="3"/>
      <c r="J32" s="4"/>
      <c r="K32" s="4"/>
      <c r="L32" s="4"/>
    </row>
    <row r="33" spans="1:13" ht="15" customHeight="1">
      <c r="A33" s="376"/>
      <c r="B33" s="255">
        <v>2024</v>
      </c>
      <c r="C33" s="377">
        <v>2023</v>
      </c>
      <c r="D33" s="143">
        <v>2022</v>
      </c>
      <c r="E33" s="193">
        <v>2021</v>
      </c>
      <c r="F33" s="269">
        <v>2020</v>
      </c>
      <c r="G33" s="20"/>
      <c r="H33" s="6"/>
      <c r="I33" s="7"/>
      <c r="J33" s="8"/>
      <c r="K33" s="8"/>
      <c r="L33" s="8"/>
      <c r="M33" s="9"/>
    </row>
    <row r="34" spans="1:13" s="23" customFormat="1" ht="15" customHeight="1">
      <c r="A34" s="176" t="s">
        <v>157</v>
      </c>
      <c r="B34" s="265">
        <v>20787425</v>
      </c>
      <c r="C34" s="245">
        <v>21231621</v>
      </c>
      <c r="D34" s="246">
        <v>21210789</v>
      </c>
      <c r="E34" s="245">
        <v>19034004</v>
      </c>
      <c r="F34" s="378" t="s">
        <v>9</v>
      </c>
      <c r="G34" s="20"/>
      <c r="H34" s="24"/>
      <c r="I34" s="26"/>
      <c r="J34" s="26"/>
      <c r="K34" s="26"/>
      <c r="L34" s="26"/>
      <c r="M34" s="26"/>
    </row>
    <row r="35" spans="1:13" s="23" customFormat="1" ht="15" customHeight="1">
      <c r="A35" s="181" t="s">
        <v>158</v>
      </c>
      <c r="B35" s="265">
        <v>26</v>
      </c>
      <c r="C35" s="249">
        <v>21</v>
      </c>
      <c r="D35" s="250">
        <v>29</v>
      </c>
      <c r="E35" s="249">
        <v>22</v>
      </c>
      <c r="F35" s="305" t="s">
        <v>9</v>
      </c>
      <c r="G35" s="20"/>
      <c r="H35" s="24"/>
      <c r="I35" s="26"/>
      <c r="J35" s="26"/>
      <c r="K35" s="26"/>
      <c r="L35" s="26"/>
      <c r="M35" s="26"/>
    </row>
    <row r="36" spans="1:13" s="23" customFormat="1" ht="15" customHeight="1">
      <c r="A36" s="181" t="s">
        <v>159</v>
      </c>
      <c r="B36" s="265">
        <v>2</v>
      </c>
      <c r="C36" s="249">
        <v>6</v>
      </c>
      <c r="D36" s="250">
        <v>6</v>
      </c>
      <c r="E36" s="249">
        <v>9</v>
      </c>
      <c r="F36" s="305" t="s">
        <v>9</v>
      </c>
      <c r="G36" s="20"/>
      <c r="H36" s="24"/>
      <c r="I36" s="25"/>
      <c r="J36" s="25"/>
      <c r="K36" s="25"/>
      <c r="L36" s="25"/>
      <c r="M36" s="25"/>
    </row>
    <row r="37" spans="1:13" ht="15" customHeight="1">
      <c r="A37" s="181" t="s">
        <v>160</v>
      </c>
      <c r="B37" s="265">
        <v>0</v>
      </c>
      <c r="C37" s="249">
        <v>0</v>
      </c>
      <c r="D37" s="250">
        <v>0</v>
      </c>
      <c r="E37" s="249">
        <v>2</v>
      </c>
      <c r="F37" s="305">
        <v>1</v>
      </c>
      <c r="G37" s="79"/>
      <c r="H37" s="11"/>
      <c r="I37" s="12"/>
      <c r="J37" s="12"/>
      <c r="K37" s="12"/>
      <c r="L37" s="12"/>
      <c r="M37" s="12"/>
    </row>
    <row r="38" spans="1:13" ht="15" customHeight="1">
      <c r="A38" s="176" t="s">
        <v>161</v>
      </c>
      <c r="B38" s="187">
        <v>1.25</v>
      </c>
      <c r="C38" s="188">
        <v>0.99</v>
      </c>
      <c r="D38" s="189">
        <v>1.37</v>
      </c>
      <c r="E38" s="188">
        <v>1.26</v>
      </c>
      <c r="F38" s="379">
        <v>1.38</v>
      </c>
      <c r="G38" s="18"/>
      <c r="H38" s="11"/>
      <c r="I38" s="14"/>
      <c r="J38" s="14"/>
      <c r="K38" s="14"/>
      <c r="L38" s="14"/>
      <c r="M38" s="14"/>
    </row>
    <row r="39" spans="1:13" ht="15" customHeight="1">
      <c r="A39" s="176" t="s">
        <v>162</v>
      </c>
      <c r="B39" s="265">
        <v>365</v>
      </c>
      <c r="C39" s="245">
        <v>37</v>
      </c>
      <c r="D39" s="246">
        <v>93</v>
      </c>
      <c r="E39" s="245">
        <v>676</v>
      </c>
      <c r="F39" s="378">
        <v>474</v>
      </c>
      <c r="G39" s="20"/>
    </row>
    <row r="40" spans="1:13" ht="15" customHeight="1">
      <c r="A40" s="176" t="s">
        <v>163</v>
      </c>
      <c r="B40" s="187">
        <v>0.1</v>
      </c>
      <c r="C40" s="188">
        <v>0.28000000000000003</v>
      </c>
      <c r="D40" s="189">
        <v>0.28000000000000003</v>
      </c>
      <c r="E40" s="188">
        <v>0.47</v>
      </c>
      <c r="F40" s="379">
        <v>0.28000000000000003</v>
      </c>
      <c r="G40" s="20"/>
    </row>
    <row r="41" spans="1:13" ht="10.199999999999999" customHeight="1">
      <c r="A41" s="513" t="s">
        <v>311</v>
      </c>
      <c r="B41" s="322"/>
      <c r="C41" s="699"/>
      <c r="D41" s="699"/>
      <c r="E41" s="380"/>
      <c r="F41" s="135"/>
      <c r="G41" s="34"/>
    </row>
    <row r="42" spans="1:13" ht="10.8" customHeight="1">
      <c r="A42" s="396" t="s">
        <v>318</v>
      </c>
      <c r="B42" s="322"/>
      <c r="C42" s="699"/>
      <c r="D42" s="699"/>
      <c r="E42" s="380"/>
      <c r="F42" s="135"/>
      <c r="G42" s="34"/>
    </row>
    <row r="43" spans="1:13" ht="10.8" customHeight="1">
      <c r="A43" s="230"/>
      <c r="B43" s="322"/>
      <c r="C43" s="699"/>
      <c r="D43" s="699"/>
      <c r="E43" s="380"/>
      <c r="F43" s="135"/>
      <c r="G43" s="34"/>
    </row>
    <row r="44" spans="1:13" ht="15" customHeight="1">
      <c r="A44" s="738" t="s">
        <v>164</v>
      </c>
      <c r="B44" s="738"/>
      <c r="C44" s="738"/>
      <c r="D44" s="738"/>
      <c r="E44" s="787"/>
      <c r="F44" s="135"/>
      <c r="G44" s="34"/>
    </row>
    <row r="45" spans="1:13" ht="15" customHeight="1" thickBot="1">
      <c r="A45" s="739"/>
      <c r="B45" s="739"/>
      <c r="C45" s="739"/>
      <c r="D45" s="739"/>
      <c r="E45" s="788"/>
      <c r="F45" s="381"/>
      <c r="G45" s="382"/>
      <c r="H45" s="61"/>
      <c r="I45" s="61"/>
      <c r="J45" s="61"/>
      <c r="K45" s="61"/>
    </row>
    <row r="46" spans="1:13" ht="15" customHeight="1" thickBot="1">
      <c r="A46" s="383"/>
      <c r="B46" s="255" t="s">
        <v>64</v>
      </c>
      <c r="C46" s="377" t="s">
        <v>25</v>
      </c>
      <c r="D46" s="242" t="s">
        <v>165</v>
      </c>
      <c r="E46" s="269" t="s">
        <v>26</v>
      </c>
      <c r="F46" s="384"/>
      <c r="G46" s="382"/>
      <c r="H46" s="61"/>
      <c r="I46" s="61"/>
      <c r="J46" s="61"/>
      <c r="K46" s="61"/>
    </row>
    <row r="47" spans="1:13" ht="15" customHeight="1">
      <c r="A47" s="176" t="s">
        <v>157</v>
      </c>
      <c r="B47" s="265">
        <v>20787425</v>
      </c>
      <c r="C47" s="245">
        <v>13602105</v>
      </c>
      <c r="D47" s="246">
        <v>2952494</v>
      </c>
      <c r="E47" s="378">
        <v>4232826</v>
      </c>
      <c r="F47" s="385"/>
      <c r="G47" s="386"/>
      <c r="H47" s="61"/>
      <c r="I47" s="61"/>
      <c r="J47" s="61"/>
      <c r="K47" s="61"/>
    </row>
    <row r="48" spans="1:13" ht="15" customHeight="1">
      <c r="A48" s="181" t="s">
        <v>158</v>
      </c>
      <c r="B48" s="265">
        <v>26</v>
      </c>
      <c r="C48" s="249">
        <v>16</v>
      </c>
      <c r="D48" s="250">
        <v>7</v>
      </c>
      <c r="E48" s="305">
        <v>3</v>
      </c>
      <c r="F48" s="387"/>
      <c r="G48" s="386"/>
      <c r="H48" s="61"/>
      <c r="I48" s="61"/>
      <c r="J48" s="61"/>
      <c r="K48" s="61"/>
    </row>
    <row r="49" spans="1:14" ht="15" customHeight="1">
      <c r="A49" s="181" t="s">
        <v>159</v>
      </c>
      <c r="B49" s="265">
        <v>2</v>
      </c>
      <c r="C49" s="249">
        <v>0</v>
      </c>
      <c r="D49" s="250">
        <v>1</v>
      </c>
      <c r="E49" s="305">
        <v>1</v>
      </c>
      <c r="F49" s="388"/>
      <c r="G49" s="389"/>
    </row>
    <row r="50" spans="1:14" ht="15" customHeight="1">
      <c r="A50" s="181" t="s">
        <v>160</v>
      </c>
      <c r="B50" s="265">
        <v>0</v>
      </c>
      <c r="C50" s="249">
        <v>0</v>
      </c>
      <c r="D50" s="250">
        <v>0</v>
      </c>
      <c r="E50" s="305">
        <v>0</v>
      </c>
      <c r="F50" s="390"/>
      <c r="G50" s="391"/>
    </row>
    <row r="51" spans="1:14" ht="15" customHeight="1">
      <c r="A51" s="176" t="s">
        <v>161</v>
      </c>
      <c r="B51" s="187">
        <v>1.25</v>
      </c>
      <c r="C51" s="188">
        <v>1.18</v>
      </c>
      <c r="D51" s="189">
        <v>2.37</v>
      </c>
      <c r="E51" s="379">
        <v>0.71</v>
      </c>
      <c r="F51" s="392"/>
      <c r="G51" s="135"/>
    </row>
    <row r="52" spans="1:14" ht="15" customHeight="1">
      <c r="A52" s="176" t="s">
        <v>162</v>
      </c>
      <c r="B52" s="265">
        <v>365</v>
      </c>
      <c r="C52" s="245">
        <v>86.97</v>
      </c>
      <c r="D52" s="246">
        <v>2091</v>
      </c>
      <c r="E52" s="378">
        <v>50.32</v>
      </c>
      <c r="F52" s="393"/>
      <c r="G52" s="135"/>
    </row>
    <row r="53" spans="1:14" ht="15" customHeight="1">
      <c r="A53" s="176" t="s">
        <v>163</v>
      </c>
      <c r="B53" s="187">
        <v>0.1</v>
      </c>
      <c r="C53" s="188">
        <v>0</v>
      </c>
      <c r="D53" s="189">
        <v>0.34</v>
      </c>
      <c r="E53" s="379">
        <v>0.24</v>
      </c>
      <c r="F53" s="394"/>
      <c r="G53" s="135"/>
    </row>
    <row r="54" spans="1:14">
      <c r="A54" s="395" t="s">
        <v>316</v>
      </c>
      <c r="B54" s="122"/>
      <c r="C54" s="120"/>
      <c r="D54" s="120"/>
      <c r="E54" s="121"/>
      <c r="F54" s="119"/>
      <c r="G54" s="135"/>
    </row>
    <row r="55" spans="1:14">
      <c r="A55" s="396" t="s">
        <v>317</v>
      </c>
      <c r="B55" s="121"/>
      <c r="C55" s="120"/>
      <c r="D55" s="121"/>
      <c r="E55" s="120"/>
      <c r="G55" s="135"/>
    </row>
    <row r="56" spans="1:14">
      <c r="A56" s="230"/>
      <c r="B56" s="121"/>
      <c r="C56" s="120"/>
      <c r="D56" s="121"/>
      <c r="E56" s="122"/>
      <c r="G56" s="135"/>
    </row>
    <row r="57" spans="1:14" ht="15" customHeight="1">
      <c r="A57" s="738" t="s">
        <v>166</v>
      </c>
      <c r="B57" s="121"/>
      <c r="C57" s="120"/>
      <c r="D57" s="121"/>
      <c r="E57" s="122"/>
      <c r="F57" s="195"/>
      <c r="G57" s="239"/>
    </row>
    <row r="58" spans="1:14" ht="15" customHeight="1">
      <c r="A58" s="739"/>
      <c r="B58" s="397"/>
      <c r="C58" s="398"/>
      <c r="D58" s="399"/>
      <c r="E58" s="261"/>
      <c r="F58" s="28"/>
      <c r="G58" s="119"/>
    </row>
    <row r="59" spans="1:14" ht="15" customHeight="1">
      <c r="A59" s="400"/>
      <c r="B59" s="401">
        <v>2024</v>
      </c>
      <c r="C59" s="377">
        <v>2023</v>
      </c>
      <c r="D59" s="402">
        <v>2022</v>
      </c>
      <c r="E59" s="403">
        <v>2021</v>
      </c>
      <c r="F59" s="404">
        <v>2020</v>
      </c>
      <c r="G59" s="405"/>
      <c r="H59" s="406"/>
      <c r="I59" s="406"/>
      <c r="J59" s="406"/>
      <c r="K59" s="406"/>
      <c r="L59" s="406"/>
      <c r="M59" s="406"/>
      <c r="N59" s="406"/>
    </row>
    <row r="60" spans="1:14" ht="15" customHeight="1">
      <c r="A60" s="176" t="s">
        <v>167</v>
      </c>
      <c r="B60" s="602">
        <v>1930</v>
      </c>
      <c r="C60" s="407">
        <v>2277</v>
      </c>
      <c r="D60" s="408">
        <v>2495</v>
      </c>
      <c r="E60" s="409">
        <v>2769</v>
      </c>
      <c r="F60" s="410">
        <v>2478</v>
      </c>
      <c r="G60" s="411"/>
      <c r="H60" s="412"/>
      <c r="I60" s="412"/>
      <c r="J60" s="412"/>
      <c r="K60" s="412"/>
      <c r="L60" s="412"/>
      <c r="M60" s="412"/>
      <c r="N60" s="412"/>
    </row>
    <row r="61" spans="1:14" ht="22.5" customHeight="1">
      <c r="A61" s="413" t="s">
        <v>168</v>
      </c>
      <c r="B61" s="601">
        <v>6</v>
      </c>
      <c r="C61" s="414">
        <v>6</v>
      </c>
      <c r="D61" s="415">
        <v>8</v>
      </c>
      <c r="E61" s="416">
        <v>6</v>
      </c>
      <c r="F61" s="417">
        <v>8</v>
      </c>
      <c r="G61" s="418"/>
      <c r="H61" s="419"/>
      <c r="I61" s="419"/>
      <c r="J61" s="419"/>
      <c r="K61" s="419"/>
      <c r="L61" s="419"/>
      <c r="M61" s="419"/>
      <c r="N61" s="419"/>
    </row>
    <row r="62" spans="1:14" ht="15" customHeight="1">
      <c r="A62" s="420" t="s">
        <v>169</v>
      </c>
      <c r="B62" s="603">
        <v>75</v>
      </c>
      <c r="C62" s="421">
        <v>226</v>
      </c>
      <c r="D62" s="422">
        <v>213</v>
      </c>
      <c r="E62" s="423">
        <v>121</v>
      </c>
      <c r="F62" s="424">
        <v>112</v>
      </c>
      <c r="G62" s="425"/>
      <c r="H62" s="419"/>
      <c r="I62" s="419"/>
      <c r="J62" s="419"/>
      <c r="K62" s="419"/>
      <c r="L62" s="419"/>
      <c r="M62" s="419"/>
      <c r="N62" s="419"/>
    </row>
    <row r="63" spans="1:14">
      <c r="A63" s="18"/>
      <c r="B63" s="426"/>
      <c r="C63" s="78"/>
      <c r="D63" s="124"/>
      <c r="F63" s="239"/>
      <c r="G63" s="195"/>
    </row>
    <row r="64" spans="1:14">
      <c r="A64" s="119"/>
      <c r="B64" s="234"/>
      <c r="C64" s="120"/>
      <c r="D64" s="121"/>
      <c r="E64" s="427"/>
      <c r="F64" s="191"/>
      <c r="G64" s="20"/>
    </row>
    <row r="65" spans="1:7">
      <c r="A65" s="396"/>
      <c r="B65" s="72"/>
      <c r="C65" s="120"/>
      <c r="D65" s="196"/>
      <c r="E65" s="120"/>
      <c r="F65" s="20"/>
    </row>
    <row r="66" spans="1:7">
      <c r="A66" s="20"/>
      <c r="B66" s="120"/>
      <c r="C66" s="120"/>
      <c r="D66" s="121"/>
      <c r="E66" s="120"/>
      <c r="F66" s="20"/>
      <c r="G66" s="191"/>
    </row>
    <row r="67" spans="1:7">
      <c r="A67" s="18"/>
      <c r="B67" s="78"/>
      <c r="C67" s="78"/>
      <c r="D67" s="428"/>
      <c r="E67" s="124"/>
      <c r="G67" s="119"/>
    </row>
    <row r="68" spans="1:7">
      <c r="E68" s="124"/>
      <c r="G68" s="239"/>
    </row>
    <row r="69" spans="1:7">
      <c r="G69" s="119"/>
    </row>
    <row r="70" spans="1:7">
      <c r="G70" s="195"/>
    </row>
  </sheetData>
  <mergeCells count="4">
    <mergeCell ref="A57:A58"/>
    <mergeCell ref="A31:D32"/>
    <mergeCell ref="A21:G29"/>
    <mergeCell ref="A44:E4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F35" sqref="F35"/>
    </sheetView>
  </sheetViews>
  <sheetFormatPr baseColWidth="10" defaultColWidth="9.109375" defaultRowHeight="13.8"/>
  <cols>
    <col min="1" max="16384" width="9.109375" style="429"/>
  </cols>
  <sheetData>
    <row r="1" spans="1:17" ht="15" customHeight="1">
      <c r="B1" s="430"/>
    </row>
    <row r="2" spans="1:17" ht="15" customHeight="1">
      <c r="B2" s="430"/>
    </row>
    <row r="3" spans="1:17" ht="15" customHeight="1">
      <c r="B3" s="430"/>
    </row>
    <row r="4" spans="1:17" ht="15" customHeight="1">
      <c r="B4" s="430"/>
    </row>
    <row r="5" spans="1:17">
      <c r="A5" s="431"/>
      <c r="B5" s="432"/>
      <c r="C5" s="431"/>
      <c r="D5" s="431"/>
      <c r="E5" s="431"/>
      <c r="F5" s="431"/>
      <c r="G5" s="431"/>
      <c r="H5" s="431"/>
      <c r="I5" s="431"/>
      <c r="J5" s="431"/>
      <c r="K5" s="431"/>
      <c r="L5" s="431"/>
      <c r="M5" s="431"/>
      <c r="N5" s="431"/>
      <c r="O5" s="431"/>
      <c r="P5" s="431"/>
      <c r="Q5" s="431"/>
    </row>
    <row r="6" spans="1:17">
      <c r="A6" s="433"/>
      <c r="B6" s="434"/>
      <c r="C6" s="433"/>
      <c r="D6" s="433"/>
      <c r="E6" s="433"/>
      <c r="F6" s="433"/>
      <c r="G6" s="433"/>
      <c r="H6" s="433"/>
      <c r="I6" s="433"/>
    </row>
    <row r="7" spans="1:17">
      <c r="B7" s="434"/>
      <c r="C7" s="433"/>
      <c r="D7" s="433"/>
      <c r="E7" s="433"/>
      <c r="F7" s="433"/>
      <c r="G7" s="433"/>
      <c r="H7" s="433"/>
      <c r="I7" s="433"/>
    </row>
    <row r="8" spans="1:17">
      <c r="A8" s="433"/>
      <c r="B8" s="434"/>
      <c r="C8" s="433"/>
      <c r="D8" s="433"/>
      <c r="E8" s="433"/>
      <c r="F8" s="433"/>
      <c r="G8" s="433"/>
      <c r="H8" s="433"/>
      <c r="I8" s="433"/>
    </row>
    <row r="9" spans="1:17">
      <c r="A9" s="433"/>
      <c r="B9" s="434"/>
      <c r="C9" s="433"/>
      <c r="D9" s="433"/>
      <c r="E9" s="433"/>
      <c r="F9" s="433"/>
      <c r="G9" s="433"/>
      <c r="H9" s="433"/>
      <c r="I9" s="433"/>
    </row>
    <row r="10" spans="1:17">
      <c r="A10" s="433"/>
      <c r="B10" s="434"/>
      <c r="C10" s="433"/>
      <c r="D10" s="433"/>
      <c r="E10" s="433"/>
      <c r="F10" s="433"/>
      <c r="G10" s="433"/>
      <c r="H10" s="433"/>
      <c r="I10" s="433"/>
    </row>
    <row r="11" spans="1:17">
      <c r="A11" s="433"/>
      <c r="B11" s="434"/>
      <c r="C11" s="433"/>
      <c r="D11" s="433"/>
      <c r="E11" s="433"/>
      <c r="F11" s="433"/>
      <c r="G11" s="433"/>
      <c r="H11" s="433"/>
      <c r="I11" s="433"/>
    </row>
    <row r="12" spans="1:17">
      <c r="A12" s="433"/>
      <c r="B12" s="434"/>
      <c r="C12" s="433"/>
      <c r="D12" s="433"/>
      <c r="E12" s="433"/>
      <c r="F12" s="433"/>
      <c r="G12" s="433"/>
      <c r="H12" s="433"/>
      <c r="I12" s="433"/>
    </row>
    <row r="13" spans="1:17">
      <c r="A13" s="433"/>
      <c r="B13" s="434"/>
      <c r="C13" s="433"/>
      <c r="D13" s="433"/>
      <c r="E13" s="433"/>
      <c r="F13" s="433"/>
      <c r="G13" s="433"/>
      <c r="H13" s="433"/>
      <c r="I13" s="433"/>
    </row>
    <row r="14" spans="1:17">
      <c r="A14" s="433"/>
      <c r="B14" s="434"/>
      <c r="C14" s="433"/>
      <c r="D14" s="433"/>
      <c r="E14" s="433"/>
      <c r="F14" s="433"/>
      <c r="G14" s="433"/>
      <c r="H14" s="433"/>
      <c r="I14" s="433"/>
    </row>
    <row r="15" spans="1:17">
      <c r="A15" s="433"/>
      <c r="B15" s="434"/>
      <c r="C15" s="433"/>
      <c r="D15" s="433"/>
      <c r="E15" s="433"/>
      <c r="F15" s="433"/>
      <c r="G15" s="433"/>
      <c r="H15" s="433"/>
      <c r="I15" s="433"/>
    </row>
    <row r="16" spans="1:17">
      <c r="A16" s="433"/>
      <c r="B16" s="434"/>
      <c r="C16" s="433"/>
      <c r="D16" s="433"/>
      <c r="E16" s="433"/>
      <c r="F16" s="433"/>
      <c r="G16" s="433"/>
      <c r="H16" s="433"/>
      <c r="I16" s="433"/>
    </row>
    <row r="17" spans="1:17">
      <c r="A17" s="433"/>
      <c r="B17" s="434"/>
      <c r="C17" s="433"/>
      <c r="D17" s="433"/>
      <c r="E17" s="433"/>
      <c r="F17" s="433"/>
      <c r="G17" s="433"/>
      <c r="H17" s="433"/>
      <c r="I17" s="433"/>
    </row>
    <row r="18" spans="1:17">
      <c r="A18" s="433"/>
      <c r="B18" s="434"/>
      <c r="C18" s="433"/>
      <c r="D18" s="433"/>
      <c r="E18" s="433"/>
      <c r="F18" s="433"/>
      <c r="G18" s="433"/>
      <c r="H18" s="433"/>
      <c r="I18" s="433"/>
    </row>
    <row r="19" spans="1:17">
      <c r="A19" s="433"/>
      <c r="B19" s="434"/>
      <c r="C19" s="433"/>
      <c r="D19" s="433"/>
      <c r="E19" s="433"/>
      <c r="F19" s="433"/>
      <c r="G19" s="433"/>
      <c r="H19" s="433"/>
      <c r="I19" s="433"/>
    </row>
    <row r="20" spans="1:17">
      <c r="A20" s="789" t="s">
        <v>271</v>
      </c>
      <c r="B20" s="789"/>
      <c r="C20" s="789"/>
      <c r="D20" s="789"/>
      <c r="E20" s="789"/>
      <c r="F20" s="789"/>
      <c r="G20" s="789"/>
      <c r="H20" s="789"/>
      <c r="I20" s="789"/>
      <c r="J20" s="789"/>
      <c r="K20" s="789"/>
      <c r="L20" s="789"/>
      <c r="M20" s="789"/>
      <c r="N20" s="789"/>
      <c r="O20" s="789"/>
      <c r="P20" s="789"/>
      <c r="Q20" s="789"/>
    </row>
    <row r="21" spans="1:17" ht="15" customHeight="1">
      <c r="A21" s="789"/>
      <c r="B21" s="789"/>
      <c r="C21" s="789"/>
      <c r="D21" s="789"/>
      <c r="E21" s="789"/>
      <c r="F21" s="789"/>
      <c r="G21" s="789"/>
      <c r="H21" s="789"/>
      <c r="I21" s="789"/>
      <c r="J21" s="789"/>
      <c r="K21" s="789"/>
      <c r="L21" s="789"/>
      <c r="M21" s="789"/>
      <c r="N21" s="789"/>
      <c r="O21" s="789"/>
      <c r="P21" s="789"/>
      <c r="Q21" s="789"/>
    </row>
    <row r="22" spans="1:17" ht="15" customHeight="1">
      <c r="A22" s="789"/>
      <c r="B22" s="789"/>
      <c r="C22" s="789"/>
      <c r="D22" s="789"/>
      <c r="E22" s="789"/>
      <c r="F22" s="789"/>
      <c r="G22" s="789"/>
      <c r="H22" s="789"/>
      <c r="I22" s="789"/>
      <c r="J22" s="789"/>
      <c r="K22" s="789"/>
      <c r="L22" s="789"/>
      <c r="M22" s="789"/>
      <c r="N22" s="789"/>
      <c r="O22" s="789"/>
      <c r="P22" s="789"/>
      <c r="Q22" s="789"/>
    </row>
    <row r="23" spans="1:17" ht="15" customHeight="1">
      <c r="A23" s="789"/>
      <c r="B23" s="789"/>
      <c r="C23" s="789"/>
      <c r="D23" s="789"/>
      <c r="E23" s="789"/>
      <c r="F23" s="789"/>
      <c r="G23" s="789"/>
      <c r="H23" s="789"/>
      <c r="I23" s="789"/>
      <c r="J23" s="789"/>
      <c r="K23" s="789"/>
      <c r="L23" s="789"/>
      <c r="M23" s="789"/>
      <c r="N23" s="789"/>
      <c r="O23" s="789"/>
      <c r="P23" s="789"/>
      <c r="Q23" s="789"/>
    </row>
    <row r="24" spans="1:17" ht="15" customHeight="1">
      <c r="A24" s="789"/>
      <c r="B24" s="789"/>
      <c r="C24" s="789"/>
      <c r="D24" s="789"/>
      <c r="E24" s="789"/>
      <c r="F24" s="789"/>
      <c r="G24" s="789"/>
      <c r="H24" s="789"/>
      <c r="I24" s="789"/>
      <c r="J24" s="789"/>
      <c r="K24" s="789"/>
      <c r="L24" s="789"/>
      <c r="M24" s="789"/>
      <c r="N24" s="789"/>
      <c r="O24" s="789"/>
      <c r="P24" s="789"/>
      <c r="Q24" s="789"/>
    </row>
    <row r="25" spans="1:17" ht="15" customHeight="1">
      <c r="A25" s="789"/>
      <c r="B25" s="789"/>
      <c r="C25" s="789"/>
      <c r="D25" s="789"/>
      <c r="E25" s="789"/>
      <c r="F25" s="789"/>
      <c r="G25" s="789"/>
      <c r="H25" s="789"/>
      <c r="I25" s="789"/>
      <c r="J25" s="789"/>
      <c r="K25" s="789"/>
      <c r="L25" s="789"/>
      <c r="M25" s="789"/>
      <c r="N25" s="789"/>
      <c r="O25" s="789"/>
      <c r="P25" s="789"/>
      <c r="Q25" s="789"/>
    </row>
    <row r="26" spans="1:17" ht="15" customHeight="1">
      <c r="A26" s="789"/>
      <c r="B26" s="789"/>
      <c r="C26" s="789"/>
      <c r="D26" s="789"/>
      <c r="E26" s="789"/>
      <c r="F26" s="789"/>
      <c r="G26" s="789"/>
      <c r="H26" s="789"/>
      <c r="I26" s="789"/>
      <c r="J26" s="789"/>
      <c r="K26" s="789"/>
      <c r="L26" s="789"/>
      <c r="M26" s="789"/>
      <c r="N26" s="789"/>
      <c r="O26" s="789"/>
      <c r="P26" s="789"/>
      <c r="Q26" s="789"/>
    </row>
    <row r="27" spans="1:17" ht="15" customHeight="1">
      <c r="A27" s="789"/>
      <c r="B27" s="789"/>
      <c r="C27" s="789"/>
      <c r="D27" s="789"/>
      <c r="E27" s="789"/>
      <c r="F27" s="789"/>
      <c r="G27" s="789"/>
      <c r="H27" s="789"/>
      <c r="I27" s="789"/>
      <c r="J27" s="789"/>
      <c r="K27" s="789"/>
      <c r="L27" s="789"/>
      <c r="M27" s="789"/>
      <c r="N27" s="789"/>
      <c r="O27" s="789"/>
      <c r="P27" s="789"/>
      <c r="Q27" s="789"/>
    </row>
    <row r="28" spans="1:17" ht="15" customHeight="1">
      <c r="A28" s="789"/>
      <c r="B28" s="789"/>
      <c r="C28" s="789"/>
      <c r="D28" s="789"/>
      <c r="E28" s="789"/>
      <c r="F28" s="789"/>
      <c r="G28" s="789"/>
      <c r="H28" s="789"/>
      <c r="I28" s="789"/>
      <c r="J28" s="789"/>
      <c r="K28" s="789"/>
      <c r="L28" s="789"/>
      <c r="M28" s="789"/>
      <c r="N28" s="789"/>
      <c r="O28" s="789"/>
      <c r="P28" s="789"/>
      <c r="Q28" s="789"/>
    </row>
    <row r="29" spans="1:17" ht="15" customHeight="1">
      <c r="A29" s="789"/>
      <c r="B29" s="789"/>
      <c r="C29" s="789"/>
      <c r="D29" s="789"/>
      <c r="E29" s="789"/>
      <c r="F29" s="789"/>
      <c r="G29" s="789"/>
      <c r="H29" s="789"/>
      <c r="I29" s="789"/>
      <c r="J29" s="789"/>
      <c r="K29" s="789"/>
      <c r="L29" s="789"/>
      <c r="M29" s="789"/>
      <c r="N29" s="789"/>
      <c r="O29" s="789"/>
      <c r="P29" s="789"/>
      <c r="Q29" s="789"/>
    </row>
    <row r="30" spans="1:17" ht="15" customHeight="1">
      <c r="A30" s="789"/>
      <c r="B30" s="789"/>
      <c r="C30" s="789"/>
      <c r="D30" s="789"/>
      <c r="E30" s="789"/>
      <c r="F30" s="789"/>
      <c r="G30" s="789"/>
      <c r="H30" s="789"/>
      <c r="I30" s="789"/>
      <c r="J30" s="789"/>
      <c r="K30" s="789"/>
      <c r="L30" s="789"/>
      <c r="M30" s="789"/>
      <c r="N30" s="789"/>
      <c r="O30" s="789"/>
      <c r="P30" s="789"/>
      <c r="Q30" s="789"/>
    </row>
    <row r="31" spans="1:17" ht="15" customHeight="1">
      <c r="A31" s="789"/>
      <c r="B31" s="789"/>
      <c r="C31" s="789"/>
      <c r="D31" s="789"/>
      <c r="E31" s="789"/>
      <c r="F31" s="789"/>
      <c r="G31" s="789"/>
      <c r="H31" s="789"/>
      <c r="I31" s="789"/>
      <c r="J31" s="789"/>
      <c r="K31" s="789"/>
      <c r="L31" s="789"/>
      <c r="M31" s="789"/>
      <c r="N31" s="789"/>
      <c r="O31" s="789"/>
      <c r="P31" s="789"/>
      <c r="Q31" s="789"/>
    </row>
    <row r="32" spans="1:17" ht="15" customHeight="1">
      <c r="A32" s="789"/>
      <c r="B32" s="789"/>
      <c r="C32" s="789"/>
      <c r="D32" s="789"/>
      <c r="E32" s="789"/>
      <c r="F32" s="789"/>
      <c r="G32" s="789"/>
      <c r="H32" s="789"/>
      <c r="I32" s="789"/>
      <c r="J32" s="789"/>
      <c r="K32" s="789"/>
      <c r="L32" s="789"/>
      <c r="M32" s="789"/>
      <c r="N32" s="789"/>
      <c r="O32" s="789"/>
      <c r="P32" s="789"/>
      <c r="Q32" s="789"/>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83"/>
  <sheetViews>
    <sheetView showGridLines="0" zoomScale="99" zoomScaleNormal="100" workbookViewId="0">
      <selection activeCell="A19" sqref="A19:H20"/>
    </sheetView>
  </sheetViews>
  <sheetFormatPr baseColWidth="10" defaultColWidth="11.44140625" defaultRowHeight="14.4"/>
  <cols>
    <col min="1" max="1" width="17.5546875" style="61" customWidth="1"/>
    <col min="2" max="2" width="25.88671875" style="61" customWidth="1"/>
    <col min="3" max="3" width="11.33203125" style="61" bestFit="1" customWidth="1"/>
    <col min="4" max="4" width="14.88671875" style="61" customWidth="1"/>
    <col min="5" max="7" width="11.33203125" style="61" bestFit="1" customWidth="1"/>
    <col min="8" max="16384" width="11.44140625" style="61"/>
  </cols>
  <sheetData>
    <row r="1" spans="1:10">
      <c r="A1" s="114"/>
      <c r="B1" s="114"/>
      <c r="C1" s="114"/>
      <c r="D1" s="114"/>
      <c r="E1" s="114"/>
      <c r="F1" s="114"/>
      <c r="G1" s="114"/>
      <c r="H1" s="114"/>
      <c r="I1" s="114"/>
      <c r="J1" s="114"/>
    </row>
    <row r="2" spans="1:10">
      <c r="A2" s="114"/>
      <c r="B2" s="114"/>
      <c r="C2" s="114"/>
      <c r="D2" s="114"/>
      <c r="E2" s="114"/>
      <c r="F2" s="114"/>
      <c r="G2" s="114"/>
      <c r="H2" s="114"/>
      <c r="I2" s="114"/>
      <c r="J2" s="114"/>
    </row>
    <row r="3" spans="1:10">
      <c r="A3" s="114"/>
      <c r="B3" s="114"/>
      <c r="C3" s="114"/>
      <c r="D3" s="114"/>
      <c r="E3" s="114"/>
      <c r="F3" s="114"/>
      <c r="G3" s="114"/>
      <c r="H3" s="114"/>
      <c r="I3" s="114"/>
      <c r="J3" s="114"/>
    </row>
    <row r="4" spans="1:10">
      <c r="A4" s="114"/>
      <c r="B4" s="114"/>
      <c r="C4" s="114"/>
      <c r="D4" s="114"/>
      <c r="E4" s="114"/>
      <c r="F4" s="114"/>
      <c r="G4" s="114"/>
      <c r="H4" s="114"/>
      <c r="I4" s="114"/>
      <c r="J4" s="114"/>
    </row>
    <row r="5" spans="1:10" ht="15" customHeight="1">
      <c r="A5" s="91"/>
      <c r="B5" s="91"/>
      <c r="C5" s="91"/>
      <c r="D5" s="91"/>
      <c r="E5" s="91"/>
      <c r="F5" s="91"/>
      <c r="G5" s="91"/>
      <c r="H5" s="91"/>
      <c r="I5" s="91"/>
      <c r="J5" s="91"/>
    </row>
    <row r="6" spans="1:10" ht="17.399999999999999" customHeight="1">
      <c r="A6" s="811" t="s">
        <v>170</v>
      </c>
      <c r="B6" s="811"/>
      <c r="C6" s="114"/>
      <c r="D6" s="114"/>
      <c r="E6" s="114"/>
      <c r="F6" s="114"/>
      <c r="G6" s="114"/>
      <c r="H6" s="114"/>
      <c r="I6" s="114"/>
      <c r="J6" s="114"/>
    </row>
    <row r="7" spans="1:10" ht="17.399999999999999" customHeight="1">
      <c r="A7" s="811"/>
      <c r="B7" s="811"/>
      <c r="C7" s="114"/>
      <c r="D7" s="114"/>
      <c r="E7" s="114"/>
      <c r="F7" s="114"/>
      <c r="G7" s="114"/>
      <c r="H7" s="114"/>
      <c r="I7" s="114"/>
      <c r="J7" s="114"/>
    </row>
    <row r="8" spans="1:10" ht="17.399999999999999" customHeight="1">
      <c r="A8" s="806" t="s">
        <v>323</v>
      </c>
      <c r="B8" s="806"/>
      <c r="C8" s="806"/>
      <c r="D8" s="806"/>
      <c r="E8" s="806"/>
      <c r="F8" s="806"/>
      <c r="G8" s="806"/>
      <c r="H8" s="806"/>
      <c r="I8" s="114"/>
      <c r="J8" s="114"/>
    </row>
    <row r="9" spans="1:10" ht="17.399999999999999" customHeight="1" thickBot="1">
      <c r="A9" s="807"/>
      <c r="B9" s="807"/>
      <c r="C9" s="807"/>
      <c r="D9" s="807"/>
      <c r="E9" s="807"/>
      <c r="F9" s="807"/>
      <c r="G9" s="806"/>
      <c r="H9" s="806"/>
      <c r="I9" s="114"/>
      <c r="J9" s="114"/>
    </row>
    <row r="10" spans="1:10" ht="17.399999999999999" customHeight="1">
      <c r="A10" s="435"/>
      <c r="B10" s="435"/>
      <c r="C10" s="436">
        <v>2024</v>
      </c>
      <c r="D10" s="437">
        <v>2023</v>
      </c>
      <c r="E10" s="436">
        <v>2022</v>
      </c>
      <c r="F10" s="711">
        <v>2021</v>
      </c>
      <c r="G10" s="38"/>
      <c r="H10" s="38"/>
      <c r="I10" s="114"/>
      <c r="J10" s="114"/>
    </row>
    <row r="11" spans="1:10" ht="17.399999999999999" customHeight="1">
      <c r="A11" s="794" t="s">
        <v>36</v>
      </c>
      <c r="B11" s="280" t="s">
        <v>173</v>
      </c>
      <c r="C11" s="492">
        <v>2892</v>
      </c>
      <c r="D11" s="21">
        <v>2755</v>
      </c>
      <c r="E11" s="21">
        <v>2961</v>
      </c>
      <c r="F11" s="440">
        <v>2890</v>
      </c>
      <c r="G11" s="14"/>
      <c r="H11" s="14"/>
      <c r="I11" s="114"/>
      <c r="J11" s="114"/>
    </row>
    <row r="12" spans="1:10" ht="17.399999999999999" customHeight="1">
      <c r="A12" s="795"/>
      <c r="B12" s="280" t="s">
        <v>174</v>
      </c>
      <c r="C12" s="265">
        <v>81</v>
      </c>
      <c r="D12" s="271">
        <v>166</v>
      </c>
      <c r="E12" s="271">
        <v>321</v>
      </c>
      <c r="F12" s="272">
        <v>459</v>
      </c>
      <c r="G12" s="14"/>
      <c r="H12" s="14"/>
      <c r="I12" s="114"/>
      <c r="J12" s="114"/>
    </row>
    <row r="13" spans="1:10" ht="17.399999999999999" customHeight="1">
      <c r="A13" s="796"/>
      <c r="B13" s="280" t="s">
        <v>175</v>
      </c>
      <c r="C13" s="265">
        <f t="shared" ref="C13:F13" si="0">SUM(C11:C12)</f>
        <v>2973</v>
      </c>
      <c r="D13" s="271">
        <f t="shared" si="0"/>
        <v>2921</v>
      </c>
      <c r="E13" s="271">
        <f t="shared" si="0"/>
        <v>3282</v>
      </c>
      <c r="F13" s="272">
        <f t="shared" si="0"/>
        <v>3349</v>
      </c>
      <c r="G13" s="14"/>
      <c r="H13" s="14"/>
      <c r="I13" s="114"/>
      <c r="J13" s="114"/>
    </row>
    <row r="14" spans="1:10" ht="17.399999999999999" customHeight="1">
      <c r="A14" s="797" t="s">
        <v>35</v>
      </c>
      <c r="B14" s="280" t="s">
        <v>173</v>
      </c>
      <c r="C14" s="265">
        <v>320</v>
      </c>
      <c r="D14" s="271">
        <v>274</v>
      </c>
      <c r="E14" s="271">
        <v>276</v>
      </c>
      <c r="F14" s="272">
        <v>237</v>
      </c>
      <c r="G14" s="14"/>
      <c r="H14" s="14"/>
      <c r="I14" s="114"/>
      <c r="J14" s="114"/>
    </row>
    <row r="15" spans="1:10" ht="17.399999999999999" customHeight="1">
      <c r="A15" s="798"/>
      <c r="B15" s="280" t="s">
        <v>174</v>
      </c>
      <c r="C15" s="265">
        <v>10</v>
      </c>
      <c r="D15" s="271">
        <v>37</v>
      </c>
      <c r="E15" s="271">
        <v>40</v>
      </c>
      <c r="F15" s="272">
        <v>80</v>
      </c>
      <c r="G15" s="14"/>
      <c r="H15" s="14"/>
      <c r="I15" s="114"/>
      <c r="J15" s="114"/>
    </row>
    <row r="16" spans="1:10" ht="17.399999999999999" customHeight="1">
      <c r="A16" s="799"/>
      <c r="B16" s="280" t="s">
        <v>176</v>
      </c>
      <c r="C16" s="265">
        <f t="shared" ref="C16:F16" si="1">SUM(C14:C15)</f>
        <v>330</v>
      </c>
      <c r="D16" s="271">
        <f t="shared" si="1"/>
        <v>311</v>
      </c>
      <c r="E16" s="271">
        <f t="shared" si="1"/>
        <v>316</v>
      </c>
      <c r="F16" s="272">
        <f t="shared" si="1"/>
        <v>317</v>
      </c>
      <c r="G16" s="14"/>
      <c r="H16" s="14"/>
      <c r="I16" s="114"/>
      <c r="J16" s="114"/>
    </row>
    <row r="17" spans="1:10" ht="17.399999999999999" customHeight="1">
      <c r="A17" s="792" t="s">
        <v>34</v>
      </c>
      <c r="B17" s="793"/>
      <c r="C17" s="604">
        <f t="shared" ref="C17:F17" si="2">SUM(C13+C16)</f>
        <v>3303</v>
      </c>
      <c r="D17" s="605">
        <f t="shared" si="2"/>
        <v>3232</v>
      </c>
      <c r="E17" s="605">
        <f t="shared" si="2"/>
        <v>3598</v>
      </c>
      <c r="F17" s="607">
        <f t="shared" si="2"/>
        <v>3666</v>
      </c>
      <c r="G17" s="14"/>
      <c r="H17" s="14"/>
      <c r="I17" s="114"/>
      <c r="J17" s="114"/>
    </row>
    <row r="18" spans="1:10" ht="17.399999999999999" customHeight="1">
      <c r="A18" s="710"/>
      <c r="B18" s="710"/>
      <c r="C18" s="11"/>
      <c r="D18" s="712"/>
      <c r="E18" s="14"/>
      <c r="F18" s="14"/>
      <c r="G18" s="14"/>
      <c r="H18" s="14"/>
      <c r="I18" s="114"/>
      <c r="J18" s="114"/>
    </row>
    <row r="19" spans="1:10" ht="17.399999999999999" customHeight="1">
      <c r="A19" s="806" t="s">
        <v>322</v>
      </c>
      <c r="B19" s="806"/>
      <c r="C19" s="806"/>
      <c r="D19" s="806"/>
      <c r="E19" s="806"/>
      <c r="F19" s="806"/>
      <c r="G19" s="806"/>
      <c r="H19" s="806"/>
      <c r="I19" s="114"/>
      <c r="J19" s="114"/>
    </row>
    <row r="20" spans="1:10" ht="15" customHeight="1" thickBot="1">
      <c r="A20" s="807"/>
      <c r="B20" s="807"/>
      <c r="C20" s="807"/>
      <c r="D20" s="807"/>
      <c r="E20" s="807"/>
      <c r="F20" s="807"/>
      <c r="G20" s="807"/>
      <c r="H20" s="807"/>
      <c r="I20" s="114"/>
      <c r="J20" s="114"/>
    </row>
    <row r="21" spans="1:10">
      <c r="A21" s="435"/>
      <c r="B21" s="435"/>
      <c r="C21" s="436" t="s">
        <v>64</v>
      </c>
      <c r="D21" s="437" t="s">
        <v>26</v>
      </c>
      <c r="E21" s="436" t="s">
        <v>165</v>
      </c>
      <c r="F21" s="438" t="s">
        <v>171</v>
      </c>
      <c r="G21" s="438" t="s">
        <v>25</v>
      </c>
      <c r="H21" s="439" t="s">
        <v>172</v>
      </c>
      <c r="I21" s="63"/>
    </row>
    <row r="22" spans="1:10">
      <c r="A22" s="794" t="s">
        <v>36</v>
      </c>
      <c r="B22" s="280" t="s">
        <v>173</v>
      </c>
      <c r="C22" s="492">
        <v>2892</v>
      </c>
      <c r="D22" s="21">
        <v>1345</v>
      </c>
      <c r="E22" s="21">
        <v>310</v>
      </c>
      <c r="F22" s="21">
        <v>2</v>
      </c>
      <c r="G22" s="21">
        <v>1233</v>
      </c>
      <c r="H22" s="440">
        <v>2</v>
      </c>
      <c r="I22" s="63"/>
    </row>
    <row r="23" spans="1:10">
      <c r="A23" s="795"/>
      <c r="B23" s="280" t="s">
        <v>174</v>
      </c>
      <c r="C23" s="265">
        <v>81</v>
      </c>
      <c r="D23" s="271">
        <v>18</v>
      </c>
      <c r="E23" s="271">
        <v>5</v>
      </c>
      <c r="F23" s="271">
        <v>0</v>
      </c>
      <c r="G23" s="271">
        <v>57</v>
      </c>
      <c r="H23" s="272">
        <v>1</v>
      </c>
      <c r="I23" s="63"/>
    </row>
    <row r="24" spans="1:10">
      <c r="A24" s="796"/>
      <c r="B24" s="280" t="s">
        <v>175</v>
      </c>
      <c r="C24" s="265">
        <f t="shared" ref="C24:H24" si="3">SUM(C22:C23)</f>
        <v>2973</v>
      </c>
      <c r="D24" s="271">
        <f t="shared" si="3"/>
        <v>1363</v>
      </c>
      <c r="E24" s="271">
        <f t="shared" si="3"/>
        <v>315</v>
      </c>
      <c r="F24" s="271">
        <f t="shared" si="3"/>
        <v>2</v>
      </c>
      <c r="G24" s="271">
        <f t="shared" si="3"/>
        <v>1290</v>
      </c>
      <c r="H24" s="272">
        <f t="shared" si="3"/>
        <v>3</v>
      </c>
      <c r="I24" s="63"/>
    </row>
    <row r="25" spans="1:10">
      <c r="A25" s="797" t="s">
        <v>35</v>
      </c>
      <c r="B25" s="280" t="s">
        <v>173</v>
      </c>
      <c r="C25" s="265">
        <v>320</v>
      </c>
      <c r="D25" s="271">
        <v>85</v>
      </c>
      <c r="E25" s="271">
        <v>76</v>
      </c>
      <c r="F25" s="271">
        <v>2</v>
      </c>
      <c r="G25" s="249">
        <v>156</v>
      </c>
      <c r="H25" s="272">
        <v>1</v>
      </c>
      <c r="I25" s="63"/>
    </row>
    <row r="26" spans="1:10">
      <c r="A26" s="798"/>
      <c r="B26" s="280" t="s">
        <v>174</v>
      </c>
      <c r="C26" s="265">
        <v>10</v>
      </c>
      <c r="D26" s="271">
        <v>1</v>
      </c>
      <c r="E26" s="271">
        <v>1</v>
      </c>
      <c r="F26" s="271">
        <v>0</v>
      </c>
      <c r="G26" s="271">
        <v>8</v>
      </c>
      <c r="H26" s="272">
        <v>0</v>
      </c>
      <c r="I26" s="63"/>
    </row>
    <row r="27" spans="1:10">
      <c r="A27" s="799"/>
      <c r="B27" s="280" t="s">
        <v>176</v>
      </c>
      <c r="C27" s="265">
        <f t="shared" ref="C27:H27" si="4">SUM(C25:C26)</f>
        <v>330</v>
      </c>
      <c r="D27" s="271">
        <f t="shared" si="4"/>
        <v>86</v>
      </c>
      <c r="E27" s="271">
        <f t="shared" si="4"/>
        <v>77</v>
      </c>
      <c r="F27" s="271">
        <f t="shared" si="4"/>
        <v>2</v>
      </c>
      <c r="G27" s="271">
        <f t="shared" si="4"/>
        <v>164</v>
      </c>
      <c r="H27" s="272">
        <f t="shared" si="4"/>
        <v>1</v>
      </c>
      <c r="I27" s="68"/>
    </row>
    <row r="28" spans="1:10">
      <c r="A28" s="792" t="s">
        <v>34</v>
      </c>
      <c r="B28" s="793"/>
      <c r="C28" s="604">
        <f t="shared" ref="C28:H28" si="5">SUM(C24+C27)</f>
        <v>3303</v>
      </c>
      <c r="D28" s="605">
        <f t="shared" si="5"/>
        <v>1449</v>
      </c>
      <c r="E28" s="605">
        <f t="shared" si="5"/>
        <v>392</v>
      </c>
      <c r="F28" s="605">
        <f t="shared" si="5"/>
        <v>4</v>
      </c>
      <c r="G28" s="606">
        <f t="shared" si="5"/>
        <v>1454</v>
      </c>
      <c r="H28" s="607">
        <f t="shared" si="5"/>
        <v>4</v>
      </c>
      <c r="I28" s="63"/>
    </row>
    <row r="29" spans="1:10">
      <c r="A29" s="441"/>
      <c r="B29" s="442"/>
      <c r="C29" s="443"/>
      <c r="D29" s="444"/>
      <c r="E29" s="63"/>
      <c r="F29" s="62"/>
      <c r="G29" s="62"/>
      <c r="I29" s="69"/>
    </row>
    <row r="30" spans="1:10" ht="15" customHeight="1">
      <c r="A30" s="806" t="s">
        <v>177</v>
      </c>
      <c r="B30" s="806"/>
      <c r="C30" s="806"/>
      <c r="D30" s="806"/>
      <c r="E30" s="806"/>
      <c r="F30" s="806"/>
      <c r="G30" s="806"/>
      <c r="H30" s="812"/>
      <c r="I30" s="166"/>
      <c r="J30" s="166"/>
    </row>
    <row r="31" spans="1:10" ht="15.75" customHeight="1" thickBot="1">
      <c r="A31" s="807"/>
      <c r="B31" s="807"/>
      <c r="C31" s="807"/>
      <c r="D31" s="807"/>
      <c r="E31" s="807"/>
      <c r="F31" s="807"/>
      <c r="G31" s="807"/>
      <c r="H31" s="810"/>
      <c r="I31" s="166"/>
      <c r="J31" s="166"/>
    </row>
    <row r="32" spans="1:10">
      <c r="A32" s="445"/>
      <c r="B32" s="446"/>
      <c r="C32" s="803" t="s">
        <v>36</v>
      </c>
      <c r="D32" s="804"/>
      <c r="E32" s="803" t="s">
        <v>35</v>
      </c>
      <c r="F32" s="804"/>
      <c r="G32" s="803" t="s">
        <v>34</v>
      </c>
      <c r="H32" s="805"/>
      <c r="I32" s="167"/>
      <c r="J32" s="166"/>
    </row>
    <row r="33" spans="1:31">
      <c r="A33" s="447"/>
      <c r="B33" s="448"/>
      <c r="C33" s="448" t="s">
        <v>37</v>
      </c>
      <c r="D33" s="449" t="s">
        <v>38</v>
      </c>
      <c r="E33" s="448" t="s">
        <v>37</v>
      </c>
      <c r="F33" s="448" t="s">
        <v>38</v>
      </c>
      <c r="G33" s="448" t="s">
        <v>37</v>
      </c>
      <c r="H33" s="450" t="s">
        <v>38</v>
      </c>
      <c r="I33" s="167"/>
      <c r="J33" s="166"/>
    </row>
    <row r="34" spans="1:31">
      <c r="A34" s="611" t="s">
        <v>178</v>
      </c>
      <c r="B34" s="612"/>
      <c r="C34" s="613">
        <v>3</v>
      </c>
      <c r="D34" s="614">
        <v>0.38</v>
      </c>
      <c r="E34" s="609">
        <v>5</v>
      </c>
      <c r="F34" s="615">
        <v>0.63</v>
      </c>
      <c r="G34" s="609">
        <v>8</v>
      </c>
      <c r="H34" s="616">
        <v>1</v>
      </c>
      <c r="I34" s="167"/>
      <c r="J34" s="166"/>
    </row>
    <row r="35" spans="1:31">
      <c r="A35" s="451" t="s">
        <v>179</v>
      </c>
      <c r="B35" s="451"/>
      <c r="C35" s="271">
        <v>6</v>
      </c>
      <c r="D35" s="566">
        <v>0.15</v>
      </c>
      <c r="E35" s="271">
        <v>35</v>
      </c>
      <c r="F35" s="566">
        <v>0.85</v>
      </c>
      <c r="G35" s="271">
        <v>41</v>
      </c>
      <c r="H35" s="567">
        <v>1</v>
      </c>
      <c r="I35" s="167"/>
      <c r="J35" s="166"/>
    </row>
    <row r="36" spans="1:31">
      <c r="A36" s="451" t="s">
        <v>180</v>
      </c>
      <c r="B36" s="451"/>
      <c r="C36" s="271">
        <v>16</v>
      </c>
      <c r="D36" s="566">
        <v>0.17</v>
      </c>
      <c r="E36" s="271">
        <v>77</v>
      </c>
      <c r="F36" s="566">
        <v>0.83</v>
      </c>
      <c r="G36" s="271">
        <v>93</v>
      </c>
      <c r="H36" s="567">
        <v>1</v>
      </c>
      <c r="I36" s="167"/>
      <c r="J36" s="166"/>
    </row>
    <row r="37" spans="1:31">
      <c r="A37" s="451" t="s">
        <v>181</v>
      </c>
      <c r="B37" s="451"/>
      <c r="C37" s="271">
        <v>24</v>
      </c>
      <c r="D37" s="566">
        <v>0.18</v>
      </c>
      <c r="E37" s="271">
        <v>110</v>
      </c>
      <c r="F37" s="566">
        <v>0.82</v>
      </c>
      <c r="G37" s="271">
        <v>134</v>
      </c>
      <c r="H37" s="567">
        <v>1</v>
      </c>
      <c r="I37" s="167"/>
      <c r="J37" s="166"/>
    </row>
    <row r="38" spans="1:31">
      <c r="A38" s="451" t="s">
        <v>182</v>
      </c>
      <c r="B38" s="63"/>
      <c r="C38" s="271">
        <v>172</v>
      </c>
      <c r="D38" s="566">
        <v>0.25</v>
      </c>
      <c r="E38" s="249">
        <v>515</v>
      </c>
      <c r="F38" s="566">
        <v>0.75</v>
      </c>
      <c r="G38" s="249">
        <v>687</v>
      </c>
      <c r="H38" s="567">
        <v>1</v>
      </c>
      <c r="I38" s="167"/>
      <c r="J38" s="166"/>
    </row>
    <row r="39" spans="1:31">
      <c r="A39" s="451" t="s">
        <v>183</v>
      </c>
      <c r="B39" s="451"/>
      <c r="C39" s="271">
        <v>53</v>
      </c>
      <c r="D39" s="566">
        <v>0.09</v>
      </c>
      <c r="E39" s="21">
        <v>562</v>
      </c>
      <c r="F39" s="566">
        <v>0.91</v>
      </c>
      <c r="G39" s="249">
        <v>615</v>
      </c>
      <c r="H39" s="567">
        <v>1</v>
      </c>
      <c r="I39" s="167"/>
      <c r="J39" s="166"/>
    </row>
    <row r="40" spans="1:31">
      <c r="A40" s="451" t="s">
        <v>184</v>
      </c>
      <c r="B40" s="452"/>
      <c r="C40" s="453">
        <v>59</v>
      </c>
      <c r="D40" s="576">
        <v>0.3</v>
      </c>
      <c r="E40" s="454">
        <v>1674</v>
      </c>
      <c r="F40" s="576">
        <v>0.97</v>
      </c>
      <c r="G40" s="454">
        <v>1733</v>
      </c>
      <c r="H40" s="577">
        <v>1</v>
      </c>
      <c r="I40" s="167"/>
      <c r="J40" s="166"/>
    </row>
    <row r="41" spans="1:31">
      <c r="A41" s="617" t="s">
        <v>185</v>
      </c>
      <c r="B41" s="618"/>
      <c r="C41" s="619">
        <f>SUM(C35:C40)</f>
        <v>330</v>
      </c>
      <c r="D41" s="620">
        <v>0.1</v>
      </c>
      <c r="E41" s="621">
        <v>2973</v>
      </c>
      <c r="F41" s="620">
        <v>0.9</v>
      </c>
      <c r="G41" s="610">
        <f>SUM(G35:G40)</f>
        <v>3303</v>
      </c>
      <c r="H41" s="622">
        <v>1</v>
      </c>
      <c r="I41" s="167"/>
      <c r="J41" s="166"/>
    </row>
    <row r="42" spans="1:31">
      <c r="A42" s="703"/>
      <c r="B42" s="704"/>
      <c r="C42" s="705"/>
      <c r="D42" s="706"/>
      <c r="E42" s="707"/>
      <c r="F42" s="708"/>
      <c r="G42" s="709"/>
      <c r="H42" s="706"/>
      <c r="I42" s="460"/>
      <c r="J42" s="460"/>
    </row>
    <row r="43" spans="1:31" ht="19.5" customHeight="1">
      <c r="A43" s="808" t="s">
        <v>186</v>
      </c>
      <c r="B43" s="808"/>
      <c r="C43" s="808"/>
      <c r="D43" s="808"/>
      <c r="E43" s="809"/>
      <c r="F43" s="457"/>
      <c r="G43" s="457"/>
      <c r="H43" s="457"/>
      <c r="I43" s="457"/>
      <c r="J43" s="457"/>
    </row>
    <row r="44" spans="1:31" ht="19.5" customHeight="1">
      <c r="A44" s="807"/>
      <c r="B44" s="807"/>
      <c r="C44" s="807"/>
      <c r="D44" s="807"/>
      <c r="E44" s="810"/>
      <c r="F44" s="458"/>
      <c r="G44" s="458"/>
      <c r="H44" s="458"/>
      <c r="I44" s="458"/>
      <c r="J44" s="458"/>
      <c r="K44" s="459"/>
      <c r="L44" s="459"/>
      <c r="M44" s="459"/>
      <c r="N44" s="459"/>
      <c r="O44" s="459"/>
      <c r="P44" s="459"/>
      <c r="Q44" s="459"/>
      <c r="R44" s="459"/>
      <c r="S44" s="459"/>
      <c r="T44" s="459"/>
      <c r="U44" s="459"/>
      <c r="V44" s="459"/>
      <c r="W44" s="459"/>
      <c r="X44" s="459"/>
      <c r="Y44" s="459"/>
      <c r="Z44" s="459"/>
      <c r="AA44" s="459"/>
      <c r="AB44" s="459"/>
      <c r="AC44" s="459"/>
      <c r="AD44" s="459"/>
      <c r="AE44" s="460"/>
    </row>
    <row r="45" spans="1:31">
      <c r="A45" s="461"/>
      <c r="B45" s="462"/>
      <c r="C45" s="803" t="s">
        <v>187</v>
      </c>
      <c r="D45" s="804"/>
      <c r="E45" s="803" t="s">
        <v>188</v>
      </c>
      <c r="F45" s="804"/>
      <c r="G45" s="803" t="s">
        <v>189</v>
      </c>
      <c r="H45" s="804"/>
      <c r="I45" s="803" t="s">
        <v>34</v>
      </c>
      <c r="J45" s="805"/>
      <c r="K45" s="67"/>
      <c r="L45" s="67"/>
      <c r="M45" s="67"/>
      <c r="N45" s="67"/>
      <c r="O45" s="67"/>
      <c r="P45" s="67"/>
      <c r="Q45" s="67"/>
      <c r="R45" s="67"/>
      <c r="S45" s="67"/>
      <c r="T45" s="67"/>
      <c r="U45" s="67"/>
      <c r="V45" s="67"/>
      <c r="W45" s="67"/>
      <c r="X45" s="67"/>
      <c r="Y45" s="67"/>
      <c r="Z45" s="67"/>
      <c r="AA45" s="67"/>
      <c r="AB45" s="67"/>
      <c r="AC45" s="67"/>
      <c r="AD45" s="67"/>
      <c r="AE45" s="68"/>
    </row>
    <row r="46" spans="1:31">
      <c r="A46" s="435"/>
      <c r="B46" s="463"/>
      <c r="C46" s="463" t="s">
        <v>37</v>
      </c>
      <c r="D46" s="464" t="s">
        <v>38</v>
      </c>
      <c r="E46" s="465" t="s">
        <v>37</v>
      </c>
      <c r="F46" s="466" t="s">
        <v>38</v>
      </c>
      <c r="G46" s="466" t="s">
        <v>37</v>
      </c>
      <c r="H46" s="466" t="s">
        <v>38</v>
      </c>
      <c r="I46" s="466" t="s">
        <v>37</v>
      </c>
      <c r="J46" s="467" t="s">
        <v>38</v>
      </c>
    </row>
    <row r="47" spans="1:31">
      <c r="A47" s="623" t="s">
        <v>178</v>
      </c>
      <c r="B47" s="624"/>
      <c r="C47" s="625">
        <v>0</v>
      </c>
      <c r="D47" s="626">
        <v>0</v>
      </c>
      <c r="E47" s="627">
        <v>1</v>
      </c>
      <c r="F47" s="626">
        <v>0.13</v>
      </c>
      <c r="G47" s="627">
        <v>7</v>
      </c>
      <c r="H47" s="626">
        <v>0.88</v>
      </c>
      <c r="I47" s="627">
        <v>8</v>
      </c>
      <c r="J47" s="628">
        <v>1</v>
      </c>
      <c r="K47" s="60"/>
    </row>
    <row r="48" spans="1:31">
      <c r="A48" s="451" t="s">
        <v>179</v>
      </c>
      <c r="B48" s="280"/>
      <c r="C48" s="468">
        <v>1</v>
      </c>
      <c r="D48" s="578">
        <v>0.02</v>
      </c>
      <c r="E48" s="469">
        <v>20</v>
      </c>
      <c r="F48" s="581">
        <v>0.49</v>
      </c>
      <c r="G48" s="469">
        <v>20</v>
      </c>
      <c r="H48" s="584">
        <v>0.49</v>
      </c>
      <c r="I48" s="470">
        <v>41</v>
      </c>
      <c r="J48" s="587">
        <v>1</v>
      </c>
    </row>
    <row r="49" spans="1:10">
      <c r="A49" s="471" t="s">
        <v>180</v>
      </c>
      <c r="B49" s="280"/>
      <c r="C49" s="472">
        <v>1</v>
      </c>
      <c r="D49" s="579">
        <v>0.01</v>
      </c>
      <c r="E49" s="473">
        <v>69</v>
      </c>
      <c r="F49" s="582">
        <v>0.74</v>
      </c>
      <c r="G49" s="473">
        <v>23</v>
      </c>
      <c r="H49" s="585">
        <v>0.25</v>
      </c>
      <c r="I49" s="474">
        <v>93</v>
      </c>
      <c r="J49" s="587">
        <v>1</v>
      </c>
    </row>
    <row r="50" spans="1:10">
      <c r="A50" s="451" t="s">
        <v>181</v>
      </c>
      <c r="B50" s="280"/>
      <c r="C50" s="472">
        <v>1</v>
      </c>
      <c r="D50" s="579">
        <v>0.01</v>
      </c>
      <c r="E50" s="473">
        <v>111</v>
      </c>
      <c r="F50" s="582">
        <v>0.83</v>
      </c>
      <c r="G50" s="473">
        <v>22</v>
      </c>
      <c r="H50" s="585">
        <v>0.16</v>
      </c>
      <c r="I50" s="474">
        <v>134</v>
      </c>
      <c r="J50" s="587">
        <v>1</v>
      </c>
    </row>
    <row r="51" spans="1:10">
      <c r="A51" s="471" t="s">
        <v>182</v>
      </c>
      <c r="B51" s="62"/>
      <c r="C51" s="472">
        <v>120</v>
      </c>
      <c r="D51" s="579">
        <v>0.17</v>
      </c>
      <c r="E51" s="473">
        <v>481</v>
      </c>
      <c r="F51" s="582">
        <v>0.7</v>
      </c>
      <c r="G51" s="473">
        <v>86</v>
      </c>
      <c r="H51" s="586">
        <v>0.13</v>
      </c>
      <c r="I51" s="474">
        <v>687</v>
      </c>
      <c r="J51" s="587">
        <v>1</v>
      </c>
    </row>
    <row r="52" spans="1:10">
      <c r="A52" s="451" t="s">
        <v>183</v>
      </c>
      <c r="B52" s="280"/>
      <c r="C52" s="472">
        <v>111</v>
      </c>
      <c r="D52" s="580">
        <v>0.18</v>
      </c>
      <c r="E52" s="473">
        <v>432</v>
      </c>
      <c r="F52" s="582">
        <v>0.7</v>
      </c>
      <c r="G52" s="473">
        <v>72</v>
      </c>
      <c r="H52" s="584">
        <v>0.12</v>
      </c>
      <c r="I52" s="474">
        <v>615</v>
      </c>
      <c r="J52" s="587">
        <v>1</v>
      </c>
    </row>
    <row r="53" spans="1:10">
      <c r="A53" s="451" t="s">
        <v>184</v>
      </c>
      <c r="B53" s="62"/>
      <c r="C53" s="472">
        <v>275</v>
      </c>
      <c r="D53" s="579">
        <v>0.16</v>
      </c>
      <c r="E53" s="476">
        <v>1299</v>
      </c>
      <c r="F53" s="583">
        <v>0.75</v>
      </c>
      <c r="G53" s="476">
        <v>159</v>
      </c>
      <c r="H53" s="586">
        <v>0.09</v>
      </c>
      <c r="I53" s="475">
        <v>1733</v>
      </c>
      <c r="J53" s="587">
        <v>1</v>
      </c>
    </row>
    <row r="54" spans="1:10">
      <c r="A54" s="634" t="s">
        <v>185</v>
      </c>
      <c r="B54" s="629"/>
      <c r="C54" s="630">
        <f>SUM(C48:C53)</f>
        <v>509</v>
      </c>
      <c r="D54" s="631">
        <v>0.15</v>
      </c>
      <c r="E54" s="632">
        <f>SUM(E48:E53)</f>
        <v>2412</v>
      </c>
      <c r="F54" s="631">
        <v>0.73</v>
      </c>
      <c r="G54" s="630">
        <f>SUM(G48:G53)</f>
        <v>382</v>
      </c>
      <c r="H54" s="631">
        <v>0.12</v>
      </c>
      <c r="I54" s="632">
        <f>SUM(I48:I53)</f>
        <v>3303</v>
      </c>
      <c r="J54" s="633">
        <v>1</v>
      </c>
    </row>
    <row r="55" spans="1:10">
      <c r="A55" s="69"/>
      <c r="B55" s="69"/>
      <c r="C55" s="63"/>
      <c r="D55" s="69"/>
      <c r="F55" s="62"/>
      <c r="G55" s="62"/>
      <c r="H55" s="69"/>
      <c r="I55" s="68"/>
      <c r="J55" s="69"/>
    </row>
    <row r="56" spans="1:10" ht="19.5" customHeight="1">
      <c r="A56" s="806" t="s">
        <v>190</v>
      </c>
      <c r="B56" s="806"/>
      <c r="C56" s="806"/>
      <c r="D56" s="806"/>
    </row>
    <row r="57" spans="1:10" ht="19.5" customHeight="1" thickBot="1">
      <c r="A57" s="807"/>
      <c r="B57" s="807"/>
      <c r="C57" s="807"/>
      <c r="D57" s="807"/>
    </row>
    <row r="58" spans="1:10" ht="21.6">
      <c r="A58" s="477"/>
      <c r="B58" s="477"/>
      <c r="C58" s="448" t="s">
        <v>37</v>
      </c>
      <c r="D58" s="635" t="s">
        <v>191</v>
      </c>
      <c r="E58" s="478"/>
      <c r="F58" s="478"/>
      <c r="G58" s="478"/>
      <c r="H58" s="478"/>
      <c r="I58" s="478"/>
      <c r="J58" s="478"/>
    </row>
    <row r="59" spans="1:10">
      <c r="A59" s="794" t="s">
        <v>25</v>
      </c>
      <c r="B59" s="280" t="s">
        <v>39</v>
      </c>
      <c r="C59" s="479">
        <v>2424</v>
      </c>
      <c r="D59" s="480">
        <v>0.7</v>
      </c>
      <c r="E59" s="478"/>
      <c r="F59" s="478"/>
      <c r="G59" s="478"/>
      <c r="H59" s="478"/>
      <c r="I59" s="478"/>
      <c r="J59" s="478"/>
    </row>
    <row r="60" spans="1:10">
      <c r="A60" s="795"/>
      <c r="B60" s="280" t="s">
        <v>123</v>
      </c>
      <c r="C60" s="265">
        <v>106</v>
      </c>
      <c r="D60" s="480">
        <v>0.8</v>
      </c>
      <c r="E60" s="478"/>
      <c r="F60" s="478"/>
      <c r="G60" s="478"/>
      <c r="H60" s="478"/>
      <c r="I60" s="478"/>
      <c r="J60" s="478"/>
    </row>
    <row r="61" spans="1:10">
      <c r="A61" s="795"/>
      <c r="B61" s="280" t="s">
        <v>87</v>
      </c>
      <c r="C61" s="265">
        <v>66</v>
      </c>
      <c r="D61" s="480">
        <v>0.71</v>
      </c>
      <c r="E61" s="478"/>
      <c r="F61" s="478"/>
      <c r="G61" s="478"/>
      <c r="H61" s="478"/>
      <c r="I61" s="478"/>
      <c r="J61" s="478"/>
    </row>
    <row r="62" spans="1:10">
      <c r="A62" s="795"/>
      <c r="B62" s="280" t="s">
        <v>89</v>
      </c>
      <c r="C62" s="265">
        <v>20</v>
      </c>
      <c r="D62" s="480">
        <v>0.43</v>
      </c>
      <c r="E62" s="478"/>
      <c r="F62" s="478"/>
      <c r="G62" s="478"/>
      <c r="H62" s="478"/>
      <c r="I62" s="478"/>
      <c r="J62" s="478"/>
    </row>
    <row r="63" spans="1:10">
      <c r="A63" s="796"/>
      <c r="B63" s="280" t="s">
        <v>124</v>
      </c>
      <c r="C63" s="265">
        <v>17</v>
      </c>
      <c r="D63" s="480">
        <v>0.39</v>
      </c>
      <c r="E63" s="478"/>
      <c r="F63" s="478"/>
      <c r="G63" s="478"/>
      <c r="H63" s="478"/>
      <c r="I63" s="478"/>
      <c r="J63" s="478"/>
    </row>
    <row r="64" spans="1:10">
      <c r="A64" s="481" t="s">
        <v>26</v>
      </c>
      <c r="B64" s="280" t="s">
        <v>65</v>
      </c>
      <c r="C64" s="265">
        <v>375</v>
      </c>
      <c r="D64" s="480">
        <v>0.21</v>
      </c>
      <c r="E64" s="478"/>
      <c r="F64" s="478"/>
      <c r="G64" s="478"/>
      <c r="H64" s="478"/>
      <c r="I64" s="478"/>
      <c r="J64" s="478"/>
    </row>
    <row r="65" spans="1:11">
      <c r="A65" s="482" t="s">
        <v>165</v>
      </c>
      <c r="B65" s="280" t="s">
        <v>66</v>
      </c>
      <c r="C65" s="265">
        <v>443</v>
      </c>
      <c r="D65" s="480">
        <v>0.54</v>
      </c>
      <c r="E65" s="478"/>
      <c r="F65" s="478"/>
      <c r="G65" s="478"/>
      <c r="H65" s="478"/>
      <c r="I65" s="478"/>
      <c r="J65" s="478"/>
    </row>
    <row r="66" spans="1:11">
      <c r="A66" s="800" t="s">
        <v>34</v>
      </c>
      <c r="B66" s="801"/>
      <c r="C66" s="479">
        <f>SUM(C59:C65)</f>
        <v>3451</v>
      </c>
      <c r="D66" s="636">
        <v>0.51</v>
      </c>
      <c r="E66" s="478"/>
      <c r="F66" s="659"/>
      <c r="G66" s="478"/>
      <c r="H66" s="478"/>
      <c r="I66" s="478"/>
      <c r="J66" s="478"/>
    </row>
    <row r="67" spans="1:11">
      <c r="A67" s="334"/>
      <c r="B67" s="334"/>
      <c r="C67" s="11"/>
      <c r="D67" s="483"/>
      <c r="E67" s="478"/>
      <c r="F67" s="478"/>
      <c r="G67" s="478"/>
      <c r="H67" s="478"/>
      <c r="I67" s="478"/>
      <c r="J67" s="478"/>
    </row>
    <row r="68" spans="1:11" s="484" customFormat="1" ht="30" customHeight="1">
      <c r="A68" s="802" t="s">
        <v>319</v>
      </c>
      <c r="B68" s="802"/>
      <c r="C68" s="802"/>
      <c r="D68" s="802"/>
      <c r="E68" s="802"/>
      <c r="F68" s="802"/>
      <c r="G68" s="802"/>
      <c r="H68" s="802"/>
      <c r="I68" s="802"/>
      <c r="J68" s="802"/>
    </row>
    <row r="69" spans="1:11" s="484" customFormat="1" ht="30" customHeight="1">
      <c r="A69" s="802" t="s">
        <v>320</v>
      </c>
      <c r="B69" s="802"/>
      <c r="C69" s="802"/>
      <c r="D69" s="802"/>
      <c r="E69" s="802"/>
      <c r="F69" s="802"/>
      <c r="G69" s="802"/>
      <c r="H69" s="802"/>
      <c r="I69" s="802"/>
      <c r="J69" s="802"/>
    </row>
    <row r="70" spans="1:11" s="484" customFormat="1" ht="30" customHeight="1">
      <c r="A70" s="802" t="s">
        <v>321</v>
      </c>
      <c r="B70" s="802"/>
      <c r="C70" s="802"/>
      <c r="D70" s="802"/>
      <c r="E70" s="802"/>
      <c r="F70" s="802"/>
      <c r="G70" s="802"/>
      <c r="H70" s="802"/>
      <c r="I70" s="802"/>
      <c r="J70" s="802"/>
    </row>
    <row r="72" spans="1:11" ht="22.5" customHeight="1">
      <c r="A72" s="806" t="s">
        <v>248</v>
      </c>
      <c r="B72" s="806"/>
      <c r="C72" s="806"/>
      <c r="D72" s="806"/>
      <c r="E72" s="806"/>
      <c r="F72" s="806"/>
      <c r="G72" s="806"/>
      <c r="H72" s="806"/>
      <c r="I72" s="806"/>
      <c r="J72" s="806"/>
      <c r="K72" s="806"/>
    </row>
    <row r="73" spans="1:11" ht="22.5" customHeight="1">
      <c r="A73" s="806"/>
      <c r="B73" s="806"/>
      <c r="C73" s="806"/>
      <c r="D73" s="806"/>
      <c r="E73" s="806"/>
      <c r="F73" s="806"/>
      <c r="G73" s="806"/>
      <c r="H73" s="806"/>
      <c r="I73" s="806"/>
      <c r="J73" s="806"/>
      <c r="K73" s="806"/>
    </row>
    <row r="74" spans="1:11">
      <c r="A74" s="485"/>
      <c r="B74" s="485"/>
      <c r="C74" s="486" t="s">
        <v>37</v>
      </c>
      <c r="D74" s="637" t="s">
        <v>38</v>
      </c>
      <c r="E74" s="487"/>
    </row>
    <row r="75" spans="1:11">
      <c r="A75" s="794" t="s">
        <v>25</v>
      </c>
      <c r="B75" s="280" t="s">
        <v>39</v>
      </c>
      <c r="C75" s="265">
        <v>834</v>
      </c>
      <c r="D75" s="480">
        <v>0.79</v>
      </c>
    </row>
    <row r="76" spans="1:11">
      <c r="A76" s="795"/>
      <c r="B76" s="280" t="s">
        <v>123</v>
      </c>
      <c r="C76" s="265">
        <v>49</v>
      </c>
      <c r="D76" s="480">
        <v>0.55000000000000004</v>
      </c>
    </row>
    <row r="77" spans="1:11">
      <c r="A77" s="795"/>
      <c r="B77" s="280" t="s">
        <v>87</v>
      </c>
      <c r="C77" s="265">
        <v>38</v>
      </c>
      <c r="D77" s="480">
        <v>0.68</v>
      </c>
    </row>
    <row r="78" spans="1:11">
      <c r="A78" s="795"/>
      <c r="B78" s="280" t="s">
        <v>89</v>
      </c>
      <c r="C78" s="265">
        <v>14</v>
      </c>
      <c r="D78" s="480">
        <v>0.52</v>
      </c>
    </row>
    <row r="79" spans="1:11">
      <c r="A79" s="795"/>
      <c r="B79" s="280" t="s">
        <v>124</v>
      </c>
      <c r="C79" s="265">
        <v>10</v>
      </c>
      <c r="D79" s="480">
        <v>0.91</v>
      </c>
    </row>
    <row r="80" spans="1:11">
      <c r="A80" s="796"/>
      <c r="B80" s="280" t="s">
        <v>88</v>
      </c>
      <c r="C80" s="265">
        <v>0</v>
      </c>
      <c r="D80" s="480">
        <v>0</v>
      </c>
    </row>
    <row r="81" spans="1:4">
      <c r="A81" s="481" t="s">
        <v>26</v>
      </c>
      <c r="B81" s="280" t="s">
        <v>65</v>
      </c>
      <c r="C81" s="265">
        <v>1081</v>
      </c>
      <c r="D81" s="480">
        <v>0.77</v>
      </c>
    </row>
    <row r="82" spans="1:4">
      <c r="A82" s="482" t="s">
        <v>165</v>
      </c>
      <c r="B82" s="280" t="s">
        <v>66</v>
      </c>
      <c r="C82" s="265">
        <v>3</v>
      </c>
      <c r="D82" s="480">
        <v>8.0000000000000002E-3</v>
      </c>
    </row>
    <row r="83" spans="1:4">
      <c r="A83" s="790" t="s">
        <v>34</v>
      </c>
      <c r="B83" s="791"/>
      <c r="C83" s="479">
        <f>SUM(C75:C82)</f>
        <v>2029</v>
      </c>
      <c r="D83" s="636">
        <v>0.61</v>
      </c>
    </row>
  </sheetData>
  <mergeCells count="27">
    <mergeCell ref="A56:D57"/>
    <mergeCell ref="A43:E44"/>
    <mergeCell ref="A6:B7"/>
    <mergeCell ref="C45:D45"/>
    <mergeCell ref="C32:D32"/>
    <mergeCell ref="A30:H31"/>
    <mergeCell ref="A19:H20"/>
    <mergeCell ref="A8:H9"/>
    <mergeCell ref="A11:A13"/>
    <mergeCell ref="A14:A16"/>
    <mergeCell ref="A17:B17"/>
    <mergeCell ref="A83:B83"/>
    <mergeCell ref="A28:B28"/>
    <mergeCell ref="A22:A24"/>
    <mergeCell ref="A25:A27"/>
    <mergeCell ref="A59:A63"/>
    <mergeCell ref="A66:B66"/>
    <mergeCell ref="A75:A80"/>
    <mergeCell ref="A69:J69"/>
    <mergeCell ref="A70:J70"/>
    <mergeCell ref="E32:F32"/>
    <mergeCell ref="G32:H32"/>
    <mergeCell ref="E45:F45"/>
    <mergeCell ref="G45:H45"/>
    <mergeCell ref="I45:J45"/>
    <mergeCell ref="A72:K73"/>
    <mergeCell ref="A68:J68"/>
  </mergeCells>
  <pageMargins left="0.7" right="0.7" top="0.75" bottom="0.75" header="0.3" footer="0.3"/>
  <pageSetup paperSize="9" orientation="portrait" r:id="rId1"/>
  <ignoredErrors>
    <ignoredError sqref="C41 C54 G54"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D43" sqref="D43"/>
    </sheetView>
  </sheetViews>
  <sheetFormatPr baseColWidth="10" defaultColWidth="11.44140625" defaultRowHeight="14.4"/>
  <cols>
    <col min="1" max="1" width="14.44140625" style="61" customWidth="1"/>
    <col min="2" max="2" width="13" style="61" customWidth="1"/>
    <col min="3" max="3" width="17.33203125" style="61" customWidth="1"/>
    <col min="4" max="16384" width="11.44140625" style="61"/>
  </cols>
  <sheetData>
    <row r="5" spans="1:8">
      <c r="A5" s="91"/>
      <c r="B5" s="91"/>
      <c r="C5" s="91"/>
      <c r="D5" s="91"/>
      <c r="E5" s="91"/>
      <c r="F5" s="91"/>
      <c r="G5" s="91"/>
      <c r="H5" s="91"/>
    </row>
    <row r="6" spans="1:8">
      <c r="A6" s="823" t="s">
        <v>192</v>
      </c>
      <c r="B6" s="823"/>
      <c r="C6" s="114"/>
      <c r="D6" s="114"/>
      <c r="E6" s="114"/>
      <c r="F6" s="114"/>
      <c r="G6" s="114"/>
      <c r="H6" s="114"/>
    </row>
    <row r="7" spans="1:8">
      <c r="A7" s="823"/>
      <c r="B7" s="823"/>
      <c r="C7" s="114"/>
      <c r="D7" s="114"/>
      <c r="E7" s="114"/>
      <c r="F7" s="114"/>
      <c r="G7" s="114"/>
      <c r="H7" s="114"/>
    </row>
    <row r="8" spans="1:8" ht="15" customHeight="1">
      <c r="A8" s="806" t="s">
        <v>250</v>
      </c>
      <c r="B8" s="806"/>
      <c r="C8" s="806"/>
      <c r="D8" s="806"/>
      <c r="E8" s="806"/>
      <c r="F8" s="806"/>
      <c r="G8" s="806"/>
      <c r="H8" s="806"/>
    </row>
    <row r="9" spans="1:8" ht="15.75" customHeight="1" thickBot="1">
      <c r="A9" s="807"/>
      <c r="B9" s="807"/>
      <c r="C9" s="807"/>
      <c r="D9" s="807"/>
      <c r="E9" s="807"/>
      <c r="F9" s="807"/>
      <c r="G9" s="807"/>
      <c r="H9" s="807"/>
    </row>
    <row r="10" spans="1:8">
      <c r="A10" s="477"/>
      <c r="B10" s="477"/>
      <c r="C10" s="477"/>
      <c r="D10" s="489" t="s">
        <v>64</v>
      </c>
      <c r="E10" s="489" t="s">
        <v>26</v>
      </c>
      <c r="F10" s="489" t="s">
        <v>165</v>
      </c>
      <c r="G10" s="489" t="s">
        <v>171</v>
      </c>
      <c r="H10" s="490" t="s">
        <v>25</v>
      </c>
    </row>
    <row r="11" spans="1:8">
      <c r="A11" s="814" t="s">
        <v>193</v>
      </c>
      <c r="B11" s="820" t="s">
        <v>194</v>
      </c>
      <c r="C11" s="491" t="s">
        <v>195</v>
      </c>
      <c r="D11" s="492">
        <f>SUM(E11:H11)</f>
        <v>499</v>
      </c>
      <c r="E11" s="21">
        <v>135</v>
      </c>
      <c r="F11" s="21">
        <v>266</v>
      </c>
      <c r="G11" s="21" t="s">
        <v>9</v>
      </c>
      <c r="H11" s="493">
        <v>98</v>
      </c>
    </row>
    <row r="12" spans="1:8">
      <c r="A12" s="814"/>
      <c r="B12" s="820"/>
      <c r="C12" s="494" t="s">
        <v>196</v>
      </c>
      <c r="D12" s="495">
        <v>0.15379999999999999</v>
      </c>
      <c r="E12" s="496">
        <v>9.3600000000000003E-2</v>
      </c>
      <c r="F12" s="496">
        <v>0.85809999999999997</v>
      </c>
      <c r="G12" s="273" t="s">
        <v>9</v>
      </c>
      <c r="H12" s="488">
        <v>6.6100000000000006E-2</v>
      </c>
    </row>
    <row r="13" spans="1:8">
      <c r="A13" s="814"/>
      <c r="B13" s="821" t="s">
        <v>197</v>
      </c>
      <c r="C13" s="494" t="s">
        <v>195</v>
      </c>
      <c r="D13" s="492">
        <f>SUM(E13:H13)</f>
        <v>100</v>
      </c>
      <c r="E13" s="250">
        <v>18</v>
      </c>
      <c r="F13" s="271">
        <v>51</v>
      </c>
      <c r="G13" s="271" t="s">
        <v>9</v>
      </c>
      <c r="H13" s="497">
        <v>31</v>
      </c>
    </row>
    <row r="14" spans="1:8">
      <c r="A14" s="819"/>
      <c r="B14" s="822"/>
      <c r="C14" s="498" t="s">
        <v>196</v>
      </c>
      <c r="D14" s="499">
        <v>3.08</v>
      </c>
      <c r="E14" s="496">
        <v>1.2500000000000001E-2</v>
      </c>
      <c r="F14" s="500">
        <v>0.16450000000000001</v>
      </c>
      <c r="G14" s="501" t="s">
        <v>9</v>
      </c>
      <c r="H14" s="502">
        <v>2.0899999999999998E-2</v>
      </c>
    </row>
    <row r="15" spans="1:8">
      <c r="A15" s="813" t="s">
        <v>198</v>
      </c>
      <c r="B15" s="816" t="s">
        <v>199</v>
      </c>
      <c r="C15" s="503" t="s">
        <v>195</v>
      </c>
      <c r="D15" s="504">
        <f>SUM(E15:H15)</f>
        <v>131</v>
      </c>
      <c r="E15" s="505">
        <v>45</v>
      </c>
      <c r="F15" s="505">
        <v>68</v>
      </c>
      <c r="G15" s="505" t="s">
        <v>9</v>
      </c>
      <c r="H15" s="344">
        <v>18</v>
      </c>
    </row>
    <row r="16" spans="1:8">
      <c r="A16" s="814"/>
      <c r="B16" s="817"/>
      <c r="C16" s="494" t="s">
        <v>196</v>
      </c>
      <c r="D16" s="506">
        <v>4.0399999999999998E-2</v>
      </c>
      <c r="E16" s="496">
        <v>3.1199999999999999E-2</v>
      </c>
      <c r="F16" s="496">
        <v>0.21940000000000001</v>
      </c>
      <c r="G16" s="507" t="s">
        <v>9</v>
      </c>
      <c r="H16" s="488">
        <v>1.21E-2</v>
      </c>
    </row>
    <row r="17" spans="1:8">
      <c r="A17" s="814"/>
      <c r="B17" s="818" t="s">
        <v>188</v>
      </c>
      <c r="C17" s="494" t="s">
        <v>195</v>
      </c>
      <c r="D17" s="508">
        <f>SUM(E17:H17)</f>
        <v>429</v>
      </c>
      <c r="E17" s="271">
        <v>103</v>
      </c>
      <c r="F17" s="271">
        <v>225</v>
      </c>
      <c r="G17" s="271" t="s">
        <v>9</v>
      </c>
      <c r="H17" s="305">
        <v>101</v>
      </c>
    </row>
    <row r="18" spans="1:8">
      <c r="A18" s="814"/>
      <c r="B18" s="817"/>
      <c r="C18" s="494" t="s">
        <v>196</v>
      </c>
      <c r="D18" s="506">
        <v>0.1323</v>
      </c>
      <c r="E18" s="496">
        <v>7.1400000000000005E-2</v>
      </c>
      <c r="F18" s="496">
        <v>0.7258</v>
      </c>
      <c r="G18" s="507" t="s">
        <v>9</v>
      </c>
      <c r="H18" s="488">
        <v>6.8099999999999994E-2</v>
      </c>
    </row>
    <row r="19" spans="1:8">
      <c r="A19" s="814"/>
      <c r="B19" s="818" t="s">
        <v>200</v>
      </c>
      <c r="C19" s="494" t="s">
        <v>195</v>
      </c>
      <c r="D19" s="508">
        <f>SUM(E19:H19)</f>
        <v>39</v>
      </c>
      <c r="E19" s="271">
        <v>5</v>
      </c>
      <c r="F19" s="271">
        <v>24</v>
      </c>
      <c r="G19" s="271" t="s">
        <v>9</v>
      </c>
      <c r="H19" s="305">
        <v>10</v>
      </c>
    </row>
    <row r="20" spans="1:8">
      <c r="A20" s="815"/>
      <c r="B20" s="817"/>
      <c r="C20" s="494" t="s">
        <v>196</v>
      </c>
      <c r="D20" s="177">
        <v>1.2E-2</v>
      </c>
      <c r="E20" s="509">
        <v>3.5000000000000001E-3</v>
      </c>
      <c r="F20" s="509">
        <v>7.7399999999999997E-2</v>
      </c>
      <c r="G20" s="510" t="s">
        <v>9</v>
      </c>
      <c r="H20" s="511">
        <v>6.7000000000000002E-3</v>
      </c>
    </row>
    <row r="21" spans="1:8">
      <c r="A21" s="512"/>
      <c r="B21" s="321"/>
      <c r="C21" s="513"/>
      <c r="D21" s="514"/>
      <c r="E21" s="515"/>
      <c r="F21" s="515"/>
      <c r="G21" s="516"/>
      <c r="H21" s="515"/>
    </row>
    <row r="22" spans="1:8" ht="15" customHeight="1">
      <c r="A22" s="806" t="s">
        <v>249</v>
      </c>
      <c r="B22" s="806"/>
      <c r="C22" s="806"/>
      <c r="D22" s="806"/>
      <c r="E22" s="806"/>
      <c r="F22" s="806"/>
      <c r="G22" s="806"/>
      <c r="H22" s="806"/>
    </row>
    <row r="23" spans="1:8" ht="15" customHeight="1" thickBot="1">
      <c r="A23" s="807"/>
      <c r="B23" s="807"/>
      <c r="C23" s="807"/>
      <c r="D23" s="807"/>
      <c r="E23" s="807"/>
      <c r="F23" s="807"/>
      <c r="G23" s="807"/>
      <c r="H23" s="807"/>
    </row>
    <row r="24" spans="1:8" ht="15" customHeight="1">
      <c r="A24" s="477"/>
      <c r="B24" s="477"/>
      <c r="C24" s="477"/>
      <c r="D24" s="489" t="s">
        <v>64</v>
      </c>
      <c r="E24" s="489" t="s">
        <v>26</v>
      </c>
      <c r="F24" s="489" t="s">
        <v>165</v>
      </c>
      <c r="G24" s="489" t="s">
        <v>171</v>
      </c>
      <c r="H24" s="638" t="s">
        <v>25</v>
      </c>
    </row>
    <row r="25" spans="1:8">
      <c r="A25" s="814" t="s">
        <v>193</v>
      </c>
      <c r="B25" s="820" t="s">
        <v>194</v>
      </c>
      <c r="C25" s="491" t="s">
        <v>195</v>
      </c>
      <c r="D25" s="492">
        <f>SUM(E25:H25)</f>
        <v>413</v>
      </c>
      <c r="E25" s="21">
        <v>134</v>
      </c>
      <c r="F25" s="21">
        <v>137</v>
      </c>
      <c r="G25" s="21">
        <v>1</v>
      </c>
      <c r="H25" s="305">
        <v>141</v>
      </c>
    </row>
    <row r="26" spans="1:8">
      <c r="A26" s="814"/>
      <c r="B26" s="820"/>
      <c r="C26" s="494" t="s">
        <v>196</v>
      </c>
      <c r="D26" s="495">
        <v>0.1273</v>
      </c>
      <c r="E26" s="496">
        <v>9.2899999999999996E-2</v>
      </c>
      <c r="F26" s="496">
        <v>0.44190000000000002</v>
      </c>
      <c r="G26" s="496">
        <v>0.22220000000000001</v>
      </c>
      <c r="H26" s="517">
        <v>9.5100000000000004E-2</v>
      </c>
    </row>
    <row r="27" spans="1:8">
      <c r="A27" s="814"/>
      <c r="B27" s="821" t="s">
        <v>197</v>
      </c>
      <c r="C27" s="494" t="s">
        <v>195</v>
      </c>
      <c r="D27" s="492">
        <f>SUM(E27:H27)</f>
        <v>92</v>
      </c>
      <c r="E27" s="250">
        <v>14</v>
      </c>
      <c r="F27" s="271">
        <v>27</v>
      </c>
      <c r="G27" s="271" t="s">
        <v>9</v>
      </c>
      <c r="H27" s="272">
        <v>51</v>
      </c>
    </row>
    <row r="28" spans="1:8">
      <c r="A28" s="819"/>
      <c r="B28" s="822"/>
      <c r="C28" s="498" t="s">
        <v>196</v>
      </c>
      <c r="D28" s="499">
        <v>2.84</v>
      </c>
      <c r="E28" s="496">
        <v>9.7000000000000003E-3</v>
      </c>
      <c r="F28" s="500">
        <v>8.7099999999999997E-2</v>
      </c>
      <c r="G28" s="500">
        <v>0</v>
      </c>
      <c r="H28" s="518">
        <v>3.44E-2</v>
      </c>
    </row>
    <row r="29" spans="1:8">
      <c r="A29" s="813" t="s">
        <v>198</v>
      </c>
      <c r="B29" s="816" t="s">
        <v>199</v>
      </c>
      <c r="C29" s="503" t="s">
        <v>195</v>
      </c>
      <c r="D29" s="504">
        <f>SUM(E29:H29)</f>
        <v>82</v>
      </c>
      <c r="E29" s="505">
        <v>20</v>
      </c>
      <c r="F29" s="505">
        <v>31</v>
      </c>
      <c r="G29" s="505">
        <v>1</v>
      </c>
      <c r="H29" s="344">
        <v>30</v>
      </c>
    </row>
    <row r="30" spans="1:8">
      <c r="A30" s="814"/>
      <c r="B30" s="817"/>
      <c r="C30" s="494" t="s">
        <v>196</v>
      </c>
      <c r="D30" s="506">
        <v>2.53E-2</v>
      </c>
      <c r="E30" s="496">
        <v>1.3899999999999999E-2</v>
      </c>
      <c r="F30" s="496">
        <v>0.1</v>
      </c>
      <c r="G30" s="496">
        <v>0.22220000000000001</v>
      </c>
      <c r="H30" s="517">
        <v>2.0199999999999999E-2</v>
      </c>
    </row>
    <row r="31" spans="1:8">
      <c r="A31" s="814"/>
      <c r="B31" s="818" t="s">
        <v>188</v>
      </c>
      <c r="C31" s="494" t="s">
        <v>195</v>
      </c>
      <c r="D31" s="508">
        <f>SUM(E31:H31)</f>
        <v>356</v>
      </c>
      <c r="E31" s="271">
        <v>102</v>
      </c>
      <c r="F31" s="271">
        <v>119</v>
      </c>
      <c r="G31" s="271" t="s">
        <v>9</v>
      </c>
      <c r="H31" s="305">
        <v>135</v>
      </c>
    </row>
    <row r="32" spans="1:8">
      <c r="A32" s="814"/>
      <c r="B32" s="817"/>
      <c r="C32" s="494" t="s">
        <v>196</v>
      </c>
      <c r="D32" s="495">
        <v>0.10979999999999999</v>
      </c>
      <c r="E32" s="496">
        <v>7.0699999999999999E-2</v>
      </c>
      <c r="F32" s="496">
        <v>0.38390000000000002</v>
      </c>
      <c r="G32" s="496">
        <v>0</v>
      </c>
      <c r="H32" s="517">
        <v>9.11E-2</v>
      </c>
    </row>
    <row r="33" spans="1:8">
      <c r="A33" s="814"/>
      <c r="B33" s="818" t="s">
        <v>200</v>
      </c>
      <c r="C33" s="494" t="s">
        <v>195</v>
      </c>
      <c r="D33" s="492">
        <f>SUM(E33:H33)</f>
        <v>67</v>
      </c>
      <c r="E33" s="271">
        <v>26</v>
      </c>
      <c r="F33" s="271">
        <v>14</v>
      </c>
      <c r="G33" s="271" t="s">
        <v>9</v>
      </c>
      <c r="H33" s="305">
        <v>27</v>
      </c>
    </row>
    <row r="34" spans="1:8">
      <c r="A34" s="815"/>
      <c r="B34" s="817"/>
      <c r="C34" s="494" t="s">
        <v>196</v>
      </c>
      <c r="D34" s="177">
        <v>2.07E-2</v>
      </c>
      <c r="E34" s="154">
        <v>1.7999999999999999E-2</v>
      </c>
      <c r="F34" s="509">
        <v>4.5199999999999997E-2</v>
      </c>
      <c r="G34" s="154">
        <v>0</v>
      </c>
      <c r="H34" s="519">
        <v>1.8200000000000001E-2</v>
      </c>
    </row>
    <row r="37" spans="1:8">
      <c r="A37" s="806" t="s">
        <v>254</v>
      </c>
      <c r="B37" s="806"/>
      <c r="C37" s="806"/>
      <c r="D37" s="806"/>
      <c r="E37" s="806"/>
      <c r="F37" s="806"/>
      <c r="G37" s="806"/>
    </row>
    <row r="38" spans="1:8" ht="15" thickBot="1">
      <c r="A38" s="807"/>
      <c r="B38" s="807"/>
      <c r="C38" s="807"/>
      <c r="D38" s="807"/>
      <c r="E38" s="807"/>
      <c r="F38" s="807"/>
      <c r="G38" s="807"/>
    </row>
    <row r="39" spans="1:8">
      <c r="A39" s="608"/>
      <c r="B39" s="608"/>
      <c r="C39" s="832" t="s">
        <v>252</v>
      </c>
      <c r="D39" s="832"/>
      <c r="E39" s="832"/>
      <c r="F39" s="832"/>
      <c r="G39" s="827" t="s">
        <v>257</v>
      </c>
      <c r="H39" s="827"/>
    </row>
    <row r="40" spans="1:8" ht="24" customHeight="1">
      <c r="A40" s="826" t="s">
        <v>251</v>
      </c>
      <c r="B40" s="826"/>
      <c r="C40" s="824" t="s">
        <v>253</v>
      </c>
      <c r="D40" s="824"/>
      <c r="E40" s="824"/>
      <c r="F40" s="824"/>
      <c r="G40" s="828">
        <v>4.9599999999999998E-2</v>
      </c>
      <c r="H40" s="829"/>
    </row>
    <row r="41" spans="1:8" ht="23.4" customHeight="1">
      <c r="A41" s="826" t="s">
        <v>255</v>
      </c>
      <c r="B41" s="826"/>
      <c r="C41" s="825" t="s">
        <v>256</v>
      </c>
      <c r="D41" s="825"/>
      <c r="E41" s="825"/>
      <c r="F41" s="825"/>
      <c r="G41" s="830">
        <v>2.9000000000000001E-2</v>
      </c>
      <c r="H41" s="831"/>
    </row>
  </sheetData>
  <mergeCells count="26">
    <mergeCell ref="A37:G38"/>
    <mergeCell ref="C40:F40"/>
    <mergeCell ref="C41:F41"/>
    <mergeCell ref="A41:B41"/>
    <mergeCell ref="A40:B40"/>
    <mergeCell ref="G39:H39"/>
    <mergeCell ref="G40:H40"/>
    <mergeCell ref="G41:H41"/>
    <mergeCell ref="C39:F39"/>
    <mergeCell ref="A6:B7"/>
    <mergeCell ref="A8:H9"/>
    <mergeCell ref="A25:A28"/>
    <mergeCell ref="B25:B26"/>
    <mergeCell ref="B27:B28"/>
    <mergeCell ref="A22:H23"/>
    <mergeCell ref="A29:A34"/>
    <mergeCell ref="B29:B30"/>
    <mergeCell ref="B31:B32"/>
    <mergeCell ref="B33:B34"/>
    <mergeCell ref="A11:A14"/>
    <mergeCell ref="B11:B12"/>
    <mergeCell ref="B13:B14"/>
    <mergeCell ref="A15:A20"/>
    <mergeCell ref="B15:B16"/>
    <mergeCell ref="B17:B18"/>
    <mergeCell ref="B19:B2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23" sqref="A23:B23"/>
    </sheetView>
  </sheetViews>
  <sheetFormatPr baseColWidth="10" defaultColWidth="8.5546875" defaultRowHeight="10.8"/>
  <cols>
    <col min="1" max="1" width="20.88671875" style="1" customWidth="1"/>
    <col min="2" max="2" width="20.109375" style="1" customWidth="1"/>
    <col min="3" max="6" width="20.44140625" style="59"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15" customHeight="1"/>
    <row r="4" spans="1:13" ht="15" customHeight="1">
      <c r="A4" s="478"/>
      <c r="B4" s="478"/>
    </row>
    <row r="5" spans="1:13" ht="15" customHeight="1">
      <c r="A5" s="94"/>
      <c r="B5" s="94"/>
      <c r="C5" s="95"/>
      <c r="D5" s="95"/>
      <c r="E5" s="95"/>
      <c r="F5" s="95"/>
    </row>
    <row r="6" spans="1:13" ht="15" customHeight="1">
      <c r="A6" s="840" t="s">
        <v>201</v>
      </c>
      <c r="B6" s="783"/>
    </row>
    <row r="7" spans="1:13" ht="15" customHeight="1">
      <c r="A7" s="840"/>
      <c r="B7" s="783"/>
    </row>
    <row r="8" spans="1:13" ht="15" customHeight="1">
      <c r="A8" s="806" t="s">
        <v>278</v>
      </c>
      <c r="B8" s="806"/>
      <c r="C8" s="806"/>
      <c r="D8" s="806"/>
      <c r="E8" s="806"/>
      <c r="F8" s="806"/>
    </row>
    <row r="9" spans="1:13" ht="15" customHeight="1" thickBot="1">
      <c r="A9" s="807"/>
      <c r="B9" s="807"/>
      <c r="C9" s="807"/>
      <c r="D9" s="807"/>
      <c r="E9" s="807"/>
      <c r="F9" s="807"/>
      <c r="G9" s="2"/>
      <c r="H9" s="3"/>
      <c r="I9" s="3"/>
      <c r="J9" s="4"/>
      <c r="K9" s="4"/>
      <c r="L9" s="4"/>
    </row>
    <row r="10" spans="1:13" ht="15" customHeight="1">
      <c r="A10" s="292"/>
      <c r="B10" s="292"/>
      <c r="C10" s="255" t="s">
        <v>64</v>
      </c>
      <c r="D10" s="262" t="s">
        <v>26</v>
      </c>
      <c r="E10" s="143" t="s">
        <v>165</v>
      </c>
      <c r="F10" s="269" t="s">
        <v>25</v>
      </c>
      <c r="G10" s="5"/>
      <c r="H10" s="6"/>
      <c r="I10" s="7"/>
      <c r="J10" s="8"/>
      <c r="K10" s="8"/>
      <c r="L10" s="8"/>
      <c r="M10" s="9"/>
    </row>
    <row r="11" spans="1:13" ht="15" customHeight="1">
      <c r="A11" s="835" t="s">
        <v>179</v>
      </c>
      <c r="B11" s="257" t="s">
        <v>194</v>
      </c>
      <c r="C11" s="265">
        <f>SUM(D11:F11)</f>
        <v>31</v>
      </c>
      <c r="D11" s="246">
        <v>8</v>
      </c>
      <c r="E11" s="245">
        <v>0</v>
      </c>
      <c r="F11" s="378">
        <v>23</v>
      </c>
      <c r="G11" s="10"/>
      <c r="H11" s="11"/>
      <c r="I11" s="12"/>
      <c r="J11" s="12"/>
      <c r="K11" s="12"/>
      <c r="L11" s="12"/>
      <c r="M11" s="12"/>
    </row>
    <row r="12" spans="1:13" ht="15" customHeight="1">
      <c r="A12" s="836"/>
      <c r="B12" s="257" t="s">
        <v>197</v>
      </c>
      <c r="C12" s="265">
        <f t="shared" ref="C12:C22" si="0">SUM(D12:F12)</f>
        <v>5</v>
      </c>
      <c r="D12" s="246">
        <v>3</v>
      </c>
      <c r="E12" s="245">
        <v>0</v>
      </c>
      <c r="F12" s="378">
        <v>2</v>
      </c>
      <c r="G12" s="10"/>
      <c r="H12" s="11"/>
      <c r="I12" s="12"/>
      <c r="J12" s="12"/>
      <c r="K12" s="12"/>
      <c r="L12" s="12"/>
      <c r="M12" s="12"/>
    </row>
    <row r="13" spans="1:13" ht="15" customHeight="1">
      <c r="A13" s="747" t="s">
        <v>180</v>
      </c>
      <c r="B13" s="257" t="s">
        <v>194</v>
      </c>
      <c r="C13" s="265">
        <f t="shared" si="0"/>
        <v>71</v>
      </c>
      <c r="D13" s="250">
        <v>24</v>
      </c>
      <c r="E13" s="249">
        <v>33</v>
      </c>
      <c r="F13" s="305">
        <v>14</v>
      </c>
      <c r="H13" s="11"/>
      <c r="I13" s="12"/>
      <c r="J13" s="12"/>
      <c r="K13" s="12"/>
      <c r="L13" s="12"/>
      <c r="M13" s="12"/>
    </row>
    <row r="14" spans="1:13" ht="15" customHeight="1">
      <c r="A14" s="749"/>
      <c r="B14" s="257" t="s">
        <v>197</v>
      </c>
      <c r="C14" s="265">
        <f t="shared" si="0"/>
        <v>13</v>
      </c>
      <c r="D14" s="250">
        <v>2</v>
      </c>
      <c r="E14" s="249">
        <v>7</v>
      </c>
      <c r="F14" s="305">
        <v>4</v>
      </c>
      <c r="H14" s="11"/>
      <c r="I14" s="12"/>
      <c r="J14" s="12"/>
      <c r="K14" s="12"/>
      <c r="L14" s="12"/>
      <c r="M14" s="12"/>
    </row>
    <row r="15" spans="1:13" ht="15" customHeight="1">
      <c r="A15" s="747" t="s">
        <v>181</v>
      </c>
      <c r="B15" s="257" t="s">
        <v>194</v>
      </c>
      <c r="C15" s="265">
        <f t="shared" si="0"/>
        <v>60</v>
      </c>
      <c r="D15" s="250">
        <v>25</v>
      </c>
      <c r="E15" s="249">
        <v>9</v>
      </c>
      <c r="F15" s="305">
        <v>26</v>
      </c>
      <c r="H15" s="11"/>
      <c r="I15" s="12"/>
      <c r="J15" s="12"/>
      <c r="K15" s="12"/>
      <c r="L15" s="12"/>
      <c r="M15" s="12"/>
    </row>
    <row r="16" spans="1:13" ht="15" customHeight="1">
      <c r="A16" s="749"/>
      <c r="B16" s="257" t="s">
        <v>197</v>
      </c>
      <c r="C16" s="265">
        <f t="shared" si="0"/>
        <v>20</v>
      </c>
      <c r="D16" s="250">
        <v>8</v>
      </c>
      <c r="E16" s="249">
        <v>0</v>
      </c>
      <c r="F16" s="305">
        <v>12</v>
      </c>
      <c r="H16" s="11"/>
      <c r="I16" s="12"/>
      <c r="J16" s="12"/>
      <c r="K16" s="12"/>
      <c r="L16" s="12"/>
      <c r="M16" s="12"/>
    </row>
    <row r="17" spans="1:13" ht="15" customHeight="1">
      <c r="A17" s="837" t="s">
        <v>182</v>
      </c>
      <c r="B17" s="257" t="s">
        <v>194</v>
      </c>
      <c r="C17" s="265">
        <f t="shared" si="0"/>
        <v>78</v>
      </c>
      <c r="D17" s="250">
        <v>27</v>
      </c>
      <c r="E17" s="249">
        <v>24</v>
      </c>
      <c r="F17" s="305">
        <v>27</v>
      </c>
      <c r="G17" s="13"/>
      <c r="H17" s="11"/>
      <c r="I17" s="12"/>
      <c r="J17" s="12"/>
      <c r="K17" s="12"/>
      <c r="L17" s="12"/>
      <c r="M17" s="12"/>
    </row>
    <row r="18" spans="1:13" ht="15" customHeight="1">
      <c r="A18" s="838"/>
      <c r="B18" s="257" t="s">
        <v>197</v>
      </c>
      <c r="C18" s="265">
        <f t="shared" si="0"/>
        <v>64</v>
      </c>
      <c r="D18" s="250">
        <v>26</v>
      </c>
      <c r="E18" s="249">
        <v>19</v>
      </c>
      <c r="F18" s="305">
        <v>19</v>
      </c>
      <c r="G18" s="13"/>
      <c r="H18" s="11"/>
      <c r="I18" s="12"/>
      <c r="J18" s="12"/>
      <c r="K18" s="12"/>
      <c r="L18" s="12"/>
      <c r="M18" s="12"/>
    </row>
    <row r="19" spans="1:13" ht="15" customHeight="1">
      <c r="A19" s="747" t="s">
        <v>202</v>
      </c>
      <c r="B19" s="257" t="s">
        <v>194</v>
      </c>
      <c r="C19" s="265">
        <f t="shared" si="0"/>
        <v>62</v>
      </c>
      <c r="D19" s="250">
        <v>0</v>
      </c>
      <c r="E19" s="249">
        <v>37</v>
      </c>
      <c r="F19" s="305">
        <v>25</v>
      </c>
      <c r="G19" s="13"/>
      <c r="H19" s="11"/>
      <c r="I19" s="12"/>
      <c r="J19" s="12"/>
      <c r="K19" s="12"/>
      <c r="L19" s="12"/>
      <c r="M19" s="12"/>
    </row>
    <row r="20" spans="1:13" ht="15" customHeight="1">
      <c r="A20" s="749"/>
      <c r="B20" s="257" t="s">
        <v>197</v>
      </c>
      <c r="C20" s="265">
        <f t="shared" si="0"/>
        <v>76</v>
      </c>
      <c r="D20" s="250">
        <v>18</v>
      </c>
      <c r="E20" s="249">
        <v>33</v>
      </c>
      <c r="F20" s="305">
        <v>25</v>
      </c>
      <c r="H20" s="11"/>
      <c r="I20" s="12"/>
      <c r="J20" s="12"/>
      <c r="K20" s="12"/>
      <c r="L20" s="12"/>
      <c r="M20" s="12"/>
    </row>
    <row r="21" spans="1:13" ht="15" customHeight="1">
      <c r="A21" s="821" t="s">
        <v>184</v>
      </c>
      <c r="B21" s="257" t="s">
        <v>194</v>
      </c>
      <c r="C21" s="265">
        <f t="shared" si="0"/>
        <v>46</v>
      </c>
      <c r="D21" s="250">
        <v>20</v>
      </c>
      <c r="E21" s="250" t="s">
        <v>9</v>
      </c>
      <c r="F21" s="305">
        <v>26</v>
      </c>
      <c r="H21" s="11"/>
      <c r="I21" s="14"/>
      <c r="J21" s="14"/>
      <c r="K21" s="14"/>
      <c r="L21" s="14"/>
      <c r="M21" s="14"/>
    </row>
    <row r="22" spans="1:13" ht="15" customHeight="1">
      <c r="A22" s="834"/>
      <c r="B22" s="257" t="s">
        <v>197</v>
      </c>
      <c r="C22" s="265">
        <f t="shared" si="0"/>
        <v>49</v>
      </c>
      <c r="D22" s="343">
        <v>15</v>
      </c>
      <c r="E22" s="343" t="s">
        <v>9</v>
      </c>
      <c r="F22" s="520">
        <v>34</v>
      </c>
      <c r="H22" s="11"/>
      <c r="I22" s="14"/>
      <c r="J22" s="14"/>
      <c r="K22" s="14"/>
      <c r="L22" s="14"/>
      <c r="M22" s="14"/>
    </row>
    <row r="23" spans="1:13" ht="15" customHeight="1">
      <c r="A23" s="841" t="s">
        <v>279</v>
      </c>
      <c r="B23" s="763"/>
      <c r="C23" s="661">
        <f>AVERAGE(C11:C22)</f>
        <v>47.916666666666664</v>
      </c>
      <c r="D23" s="249">
        <f>AVERAGE(D11:D22)</f>
        <v>14.666666666666666</v>
      </c>
      <c r="E23" s="249">
        <f>AVERAGE(E11:E22)</f>
        <v>16.2</v>
      </c>
      <c r="F23" s="305">
        <f>AVERAGE(F11:F22)</f>
        <v>19.75</v>
      </c>
      <c r="H23" s="11"/>
      <c r="I23" s="14"/>
      <c r="J23" s="14"/>
      <c r="K23" s="14"/>
      <c r="L23" s="14"/>
      <c r="M23" s="14"/>
    </row>
    <row r="24" spans="1:13" ht="15" customHeight="1">
      <c r="H24" s="11"/>
      <c r="I24" s="14"/>
      <c r="J24" s="14"/>
      <c r="K24" s="14"/>
      <c r="L24" s="14"/>
      <c r="M24" s="14"/>
    </row>
    <row r="25" spans="1:13" ht="15" customHeight="1">
      <c r="A25" s="806" t="s">
        <v>203</v>
      </c>
      <c r="B25" s="806"/>
      <c r="C25" s="806"/>
      <c r="D25" s="21"/>
      <c r="E25" s="21"/>
      <c r="F25" s="29"/>
      <c r="H25" s="11"/>
      <c r="I25" s="14"/>
      <c r="J25" s="14"/>
      <c r="K25" s="14"/>
      <c r="L25" s="14"/>
      <c r="M25" s="14"/>
    </row>
    <row r="26" spans="1:13" ht="15" customHeight="1">
      <c r="A26" s="807"/>
      <c r="B26" s="807"/>
      <c r="C26" s="807"/>
      <c r="D26" s="19"/>
      <c r="E26" s="16"/>
      <c r="F26" s="16"/>
      <c r="G26" s="2"/>
      <c r="H26" s="3"/>
      <c r="I26" s="3"/>
      <c r="J26" s="4"/>
      <c r="K26" s="4"/>
      <c r="L26" s="4"/>
    </row>
    <row r="27" spans="1:13" ht="15" customHeight="1">
      <c r="A27" s="292"/>
      <c r="B27" s="292"/>
      <c r="C27" s="255" t="s">
        <v>64</v>
      </c>
      <c r="D27" s="262" t="s">
        <v>26</v>
      </c>
      <c r="E27" s="143" t="s">
        <v>165</v>
      </c>
      <c r="F27" s="269" t="s">
        <v>25</v>
      </c>
      <c r="G27" s="5"/>
      <c r="H27" s="6"/>
      <c r="I27" s="7"/>
      <c r="J27" s="8"/>
      <c r="K27" s="8"/>
      <c r="L27" s="8"/>
      <c r="M27" s="9"/>
    </row>
    <row r="28" spans="1:13" ht="15" customHeight="1">
      <c r="A28" s="839" t="s">
        <v>204</v>
      </c>
      <c r="B28" s="839"/>
      <c r="C28" s="265">
        <v>54690</v>
      </c>
      <c r="D28" s="246">
        <v>24409</v>
      </c>
      <c r="E28" s="245">
        <v>125372</v>
      </c>
      <c r="F28" s="378">
        <v>17769</v>
      </c>
      <c r="G28" s="10"/>
      <c r="H28" s="11"/>
      <c r="I28" s="12"/>
      <c r="J28" s="12"/>
      <c r="K28" s="12"/>
      <c r="L28" s="12"/>
      <c r="M28" s="12"/>
    </row>
    <row r="29" spans="1:13" ht="15" customHeight="1">
      <c r="A29" s="839" t="s">
        <v>205</v>
      </c>
      <c r="B29" s="839"/>
      <c r="C29" s="265">
        <v>4549</v>
      </c>
      <c r="D29" s="250">
        <v>3810</v>
      </c>
      <c r="E29" s="249">
        <f>112+28</f>
        <v>140</v>
      </c>
      <c r="F29" s="305">
        <v>739</v>
      </c>
      <c r="H29" s="11"/>
      <c r="I29" s="12"/>
      <c r="J29" s="12"/>
      <c r="K29" s="12"/>
      <c r="L29" s="12"/>
      <c r="M29" s="12"/>
    </row>
    <row r="30" spans="1:13" ht="15" customHeight="1">
      <c r="A30" s="839" t="s">
        <v>206</v>
      </c>
      <c r="B30" s="839"/>
      <c r="C30" s="265">
        <v>8032</v>
      </c>
      <c r="D30" s="250" t="s">
        <v>9</v>
      </c>
      <c r="E30" s="249" t="s">
        <v>9</v>
      </c>
      <c r="F30" s="305">
        <v>8032</v>
      </c>
      <c r="H30" s="11"/>
      <c r="I30" s="12"/>
      <c r="J30" s="12"/>
      <c r="K30" s="12"/>
      <c r="L30" s="12"/>
      <c r="M30" s="12"/>
    </row>
    <row r="31" spans="1:13" ht="15" customHeight="1">
      <c r="A31" s="833" t="s">
        <v>207</v>
      </c>
      <c r="B31" s="833"/>
      <c r="C31" s="265">
        <v>12509</v>
      </c>
      <c r="D31" s="250">
        <v>2659</v>
      </c>
      <c r="E31" s="249" t="s">
        <v>9</v>
      </c>
      <c r="F31" s="305">
        <v>9850</v>
      </c>
      <c r="G31" s="13"/>
      <c r="H31" s="11"/>
      <c r="I31" s="12"/>
      <c r="J31" s="12"/>
      <c r="K31" s="12"/>
      <c r="L31" s="12"/>
      <c r="M31" s="12"/>
    </row>
    <row r="32" spans="1:13" ht="15" customHeight="1">
      <c r="A32" s="833" t="s">
        <v>208</v>
      </c>
      <c r="B32" s="833"/>
      <c r="C32" s="265">
        <f>SUM(D32:F32)</f>
        <v>79780</v>
      </c>
      <c r="D32" s="250">
        <v>30878</v>
      </c>
      <c r="E32" s="249">
        <v>12512</v>
      </c>
      <c r="F32" s="305">
        <v>36390</v>
      </c>
    </row>
    <row r="33" spans="1:13" ht="15" customHeight="1">
      <c r="A33" s="521"/>
      <c r="B33" s="522"/>
      <c r="C33" s="523"/>
      <c r="D33" s="455"/>
      <c r="E33" s="456"/>
      <c r="F33" s="455"/>
      <c r="H33" s="11"/>
      <c r="I33" s="14"/>
      <c r="J33" s="14"/>
      <c r="K33" s="14"/>
      <c r="L33" s="14"/>
      <c r="M33" s="14"/>
    </row>
    <row r="34" spans="1:13" ht="15" customHeight="1">
      <c r="A34" s="806" t="s">
        <v>276</v>
      </c>
      <c r="B34" s="806"/>
      <c r="C34" s="806"/>
      <c r="D34" s="806"/>
      <c r="E34" s="806"/>
      <c r="F34" s="812"/>
      <c r="H34" s="11"/>
      <c r="I34" s="14"/>
      <c r="J34" s="14"/>
      <c r="K34" s="14"/>
      <c r="L34" s="14"/>
      <c r="M34" s="14"/>
    </row>
    <row r="35" spans="1:13" ht="15" customHeight="1">
      <c r="A35" s="807"/>
      <c r="B35" s="807"/>
      <c r="C35" s="807"/>
      <c r="D35" s="807"/>
      <c r="E35" s="807"/>
      <c r="F35" s="810"/>
    </row>
    <row r="36" spans="1:13" ht="15" customHeight="1">
      <c r="A36" s="292"/>
      <c r="B36" s="292"/>
      <c r="C36" s="255" t="s">
        <v>64</v>
      </c>
      <c r="D36" s="262" t="s">
        <v>26</v>
      </c>
      <c r="E36" s="143" t="s">
        <v>165</v>
      </c>
      <c r="F36" s="269" t="s">
        <v>25</v>
      </c>
    </row>
    <row r="37" spans="1:13" ht="15" customHeight="1">
      <c r="A37" s="833" t="s">
        <v>204</v>
      </c>
      <c r="B37" s="833"/>
      <c r="C37" s="265">
        <f>SUM(D37:F37)</f>
        <v>3362</v>
      </c>
      <c r="D37" s="246">
        <v>1738</v>
      </c>
      <c r="E37" s="245">
        <v>236</v>
      </c>
      <c r="F37" s="378">
        <v>1388</v>
      </c>
      <c r="H37" s="12"/>
    </row>
    <row r="38" spans="1:13" ht="15" customHeight="1">
      <c r="A38" s="833" t="s">
        <v>205</v>
      </c>
      <c r="B38" s="833"/>
      <c r="C38" s="265">
        <f>SUM(D38:F38)</f>
        <v>1482</v>
      </c>
      <c r="D38" s="250">
        <v>966</v>
      </c>
      <c r="E38" s="249">
        <v>422</v>
      </c>
      <c r="F38" s="305">
        <v>94</v>
      </c>
      <c r="H38" s="14"/>
    </row>
    <row r="39" spans="1:13" ht="15" customHeight="1">
      <c r="A39" s="833" t="s">
        <v>206</v>
      </c>
      <c r="B39" s="833"/>
      <c r="C39" s="265">
        <f>SUM(D39:F39)</f>
        <v>1391</v>
      </c>
      <c r="D39" s="250" t="s">
        <v>9</v>
      </c>
      <c r="E39" s="249" t="s">
        <v>9</v>
      </c>
      <c r="F39" s="305">
        <v>1391</v>
      </c>
      <c r="H39" s="14"/>
    </row>
    <row r="40" spans="1:13" ht="15" customHeight="1">
      <c r="A40" s="833" t="s">
        <v>207</v>
      </c>
      <c r="B40" s="833"/>
      <c r="C40" s="265">
        <f>SUM(D40:F40)</f>
        <v>2046</v>
      </c>
      <c r="D40" s="250">
        <v>689</v>
      </c>
      <c r="E40" s="249" t="s">
        <v>9</v>
      </c>
      <c r="F40" s="378">
        <v>1357</v>
      </c>
      <c r="H40" s="14"/>
    </row>
    <row r="41" spans="1:13" ht="25.2" customHeight="1">
      <c r="A41" s="833" t="s">
        <v>277</v>
      </c>
      <c r="B41" s="833"/>
      <c r="C41" s="265">
        <f>SUM(D41:F41)</f>
        <v>5170</v>
      </c>
      <c r="D41" s="250">
        <v>1760</v>
      </c>
      <c r="E41" s="249">
        <v>658</v>
      </c>
      <c r="F41" s="305">
        <v>2752</v>
      </c>
      <c r="H41" s="14"/>
    </row>
    <row r="43" spans="1:13">
      <c r="C43" s="660"/>
    </row>
    <row r="45" spans="1:13">
      <c r="A45" s="35"/>
      <c r="B45" s="35"/>
    </row>
    <row r="48" spans="1:13">
      <c r="A48" s="524"/>
    </row>
  </sheetData>
  <mergeCells count="22">
    <mergeCell ref="A6:A7"/>
    <mergeCell ref="B6:B7"/>
    <mergeCell ref="A25:C26"/>
    <mergeCell ref="A34:F35"/>
    <mergeCell ref="A8:F9"/>
    <mergeCell ref="A23:B23"/>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topLeftCell="A2" zoomScaleNormal="100" workbookViewId="0">
      <selection activeCell="A37" sqref="A37"/>
    </sheetView>
  </sheetViews>
  <sheetFormatPr baseColWidth="10" defaultColWidth="9.109375" defaultRowHeight="14.4"/>
  <cols>
    <col min="1" max="1" width="23.44140625" style="61" customWidth="1"/>
    <col min="2" max="3" width="11.44140625" style="61" customWidth="1"/>
    <col min="4" max="4" width="13.33203125" style="61" customWidth="1"/>
    <col min="5" max="7" width="11.44140625" style="61" customWidth="1"/>
    <col min="8" max="16384" width="9.109375" style="61"/>
  </cols>
  <sheetData>
    <row r="1" spans="1:16" ht="15" customHeight="1">
      <c r="B1" s="60"/>
    </row>
    <row r="2" spans="1:16" ht="15" customHeight="1">
      <c r="B2" s="60"/>
    </row>
    <row r="3" spans="1:16" ht="15" customHeight="1">
      <c r="B3" s="60"/>
    </row>
    <row r="4" spans="1:16" ht="15" customHeight="1">
      <c r="B4" s="60"/>
    </row>
    <row r="5" spans="1:16">
      <c r="A5" s="91"/>
      <c r="B5" s="92"/>
      <c r="C5" s="91"/>
      <c r="D5" s="91"/>
      <c r="E5" s="91"/>
      <c r="F5" s="91"/>
      <c r="G5" s="91"/>
      <c r="H5" s="91"/>
      <c r="I5" s="91"/>
      <c r="J5" s="91"/>
      <c r="K5" s="91"/>
      <c r="L5" s="91"/>
      <c r="M5" s="91"/>
      <c r="N5" s="91"/>
      <c r="O5" s="114"/>
      <c r="P5" s="114"/>
    </row>
    <row r="6" spans="1:16">
      <c r="A6" s="114"/>
      <c r="B6" s="115"/>
      <c r="C6" s="114"/>
      <c r="D6" s="114"/>
      <c r="E6" s="114"/>
      <c r="F6" s="114"/>
      <c r="G6" s="114"/>
      <c r="H6" s="114"/>
    </row>
    <row r="7" spans="1:16">
      <c r="B7" s="115"/>
      <c r="C7" s="114"/>
      <c r="D7" s="114"/>
      <c r="E7" s="114"/>
      <c r="F7" s="114"/>
      <c r="G7" s="114"/>
      <c r="H7" s="114"/>
    </row>
    <row r="8" spans="1:16">
      <c r="A8" s="114"/>
      <c r="B8" s="115"/>
      <c r="C8" s="114"/>
      <c r="D8" s="114"/>
      <c r="E8" s="114"/>
      <c r="F8" s="114"/>
      <c r="G8" s="114"/>
      <c r="H8" s="114"/>
    </row>
    <row r="9" spans="1:16">
      <c r="A9" s="114"/>
      <c r="B9" s="115"/>
      <c r="C9" s="114"/>
      <c r="D9" s="114"/>
      <c r="E9" s="114"/>
      <c r="F9" s="114"/>
      <c r="G9" s="114"/>
      <c r="H9" s="114"/>
    </row>
    <row r="10" spans="1:16">
      <c r="A10" s="114"/>
      <c r="B10" s="115"/>
      <c r="C10" s="114"/>
      <c r="D10" s="114"/>
      <c r="E10" s="114"/>
      <c r="F10" s="114"/>
      <c r="G10" s="114"/>
      <c r="H10" s="114"/>
    </row>
    <row r="11" spans="1:16">
      <c r="A11" s="114"/>
      <c r="B11" s="115"/>
      <c r="C11" s="114"/>
      <c r="D11" s="114"/>
      <c r="E11" s="114"/>
      <c r="F11" s="114"/>
      <c r="G11" s="114"/>
      <c r="H11" s="114"/>
    </row>
    <row r="12" spans="1:16">
      <c r="A12" s="114"/>
      <c r="B12" s="115"/>
      <c r="C12" s="114"/>
      <c r="D12" s="114"/>
      <c r="E12" s="114"/>
      <c r="F12" s="114"/>
      <c r="G12" s="114"/>
      <c r="H12" s="114"/>
    </row>
    <row r="13" spans="1:16">
      <c r="A13" s="114"/>
      <c r="B13" s="115"/>
      <c r="C13" s="114"/>
      <c r="D13" s="114"/>
      <c r="E13" s="114"/>
      <c r="F13" s="114"/>
      <c r="G13" s="114"/>
      <c r="H13" s="114"/>
    </row>
    <row r="14" spans="1:16">
      <c r="A14" s="114"/>
      <c r="B14" s="115"/>
      <c r="C14" s="114"/>
      <c r="D14" s="114"/>
      <c r="E14" s="114"/>
      <c r="F14" s="114"/>
      <c r="G14" s="114"/>
      <c r="H14" s="114"/>
    </row>
    <row r="15" spans="1:16">
      <c r="A15" s="114"/>
      <c r="B15" s="115"/>
      <c r="C15" s="114"/>
      <c r="D15" s="114"/>
      <c r="E15" s="114"/>
      <c r="F15" s="114"/>
      <c r="G15" s="114"/>
      <c r="H15" s="114"/>
    </row>
    <row r="16" spans="1:16">
      <c r="A16" s="114"/>
      <c r="B16" s="115"/>
      <c r="C16" s="114"/>
      <c r="D16" s="114"/>
      <c r="E16" s="114"/>
      <c r="F16" s="114"/>
      <c r="G16" s="114"/>
      <c r="H16" s="114"/>
    </row>
    <row r="17" spans="1:16">
      <c r="A17" s="114"/>
      <c r="B17" s="115"/>
      <c r="C17" s="114"/>
      <c r="D17" s="114"/>
      <c r="E17" s="114"/>
      <c r="F17" s="114"/>
      <c r="G17" s="114"/>
      <c r="H17" s="114"/>
    </row>
    <row r="18" spans="1:16">
      <c r="A18" s="114"/>
      <c r="B18" s="115"/>
      <c r="C18" s="114"/>
      <c r="D18" s="114"/>
      <c r="E18" s="114"/>
      <c r="F18" s="114"/>
      <c r="G18" s="114"/>
      <c r="H18" s="114"/>
    </row>
    <row r="19" spans="1:16">
      <c r="A19" s="114"/>
      <c r="B19" s="115"/>
      <c r="C19" s="114"/>
      <c r="D19" s="114"/>
      <c r="E19" s="114"/>
      <c r="F19" s="114"/>
      <c r="G19" s="114"/>
      <c r="H19" s="114"/>
    </row>
    <row r="20" spans="1:16" ht="15" customHeight="1">
      <c r="A20" s="786" t="s">
        <v>220</v>
      </c>
      <c r="B20" s="786"/>
      <c r="C20" s="786"/>
      <c r="D20" s="786"/>
      <c r="E20" s="786"/>
      <c r="F20" s="786"/>
      <c r="G20" s="786"/>
      <c r="H20" s="786"/>
      <c r="I20" s="786"/>
      <c r="J20" s="786"/>
      <c r="K20" s="786"/>
      <c r="L20" s="786"/>
      <c r="M20" s="786"/>
      <c r="N20" s="374"/>
      <c r="O20" s="374"/>
      <c r="P20" s="374"/>
    </row>
    <row r="21" spans="1:16" ht="15" customHeight="1">
      <c r="A21" s="786"/>
      <c r="B21" s="786"/>
      <c r="C21" s="786"/>
      <c r="D21" s="786"/>
      <c r="E21" s="786"/>
      <c r="F21" s="786"/>
      <c r="G21" s="786"/>
      <c r="H21" s="786"/>
      <c r="I21" s="786"/>
      <c r="J21" s="786"/>
      <c r="K21" s="786"/>
      <c r="L21" s="786"/>
      <c r="M21" s="786"/>
      <c r="N21" s="374"/>
      <c r="O21" s="374"/>
      <c r="P21" s="374"/>
    </row>
    <row r="22" spans="1:16" ht="15" customHeight="1">
      <c r="A22" s="786"/>
      <c r="B22" s="786"/>
      <c r="C22" s="786"/>
      <c r="D22" s="786"/>
      <c r="E22" s="786"/>
      <c r="F22" s="786"/>
      <c r="G22" s="786"/>
      <c r="H22" s="786"/>
      <c r="I22" s="786"/>
      <c r="J22" s="786"/>
      <c r="K22" s="786"/>
      <c r="L22" s="786"/>
      <c r="M22" s="786"/>
      <c r="N22" s="374"/>
      <c r="O22" s="374"/>
      <c r="P22" s="374"/>
    </row>
    <row r="23" spans="1:16" ht="15" customHeight="1">
      <c r="A23" s="786"/>
      <c r="B23" s="786"/>
      <c r="C23" s="786"/>
      <c r="D23" s="786"/>
      <c r="E23" s="786"/>
      <c r="F23" s="786"/>
      <c r="G23" s="786"/>
      <c r="H23" s="786"/>
      <c r="I23" s="786"/>
      <c r="J23" s="786"/>
      <c r="K23" s="786"/>
      <c r="L23" s="786"/>
      <c r="M23" s="786"/>
      <c r="N23" s="374"/>
      <c r="O23" s="374"/>
      <c r="P23" s="374"/>
    </row>
    <row r="24" spans="1:16" ht="15" customHeight="1">
      <c r="A24" s="786"/>
      <c r="B24" s="786"/>
      <c r="C24" s="786"/>
      <c r="D24" s="786"/>
      <c r="E24" s="786"/>
      <c r="F24" s="786"/>
      <c r="G24" s="786"/>
      <c r="H24" s="786"/>
      <c r="I24" s="786"/>
      <c r="J24" s="786"/>
      <c r="K24" s="786"/>
      <c r="L24" s="786"/>
      <c r="M24" s="786"/>
      <c r="N24" s="374"/>
      <c r="O24" s="374"/>
      <c r="P24" s="374"/>
    </row>
    <row r="25" spans="1:16" ht="15" customHeight="1">
      <c r="A25" s="786"/>
      <c r="B25" s="786"/>
      <c r="C25" s="786"/>
      <c r="D25" s="786"/>
      <c r="E25" s="786"/>
      <c r="F25" s="786"/>
      <c r="G25" s="786"/>
      <c r="H25" s="786"/>
      <c r="I25" s="786"/>
      <c r="J25" s="786"/>
      <c r="K25" s="786"/>
      <c r="L25" s="786"/>
      <c r="M25" s="786"/>
      <c r="N25" s="374"/>
      <c r="O25" s="374"/>
      <c r="P25" s="374"/>
    </row>
    <row r="26" spans="1:16" ht="15" customHeight="1">
      <c r="A26" s="786"/>
      <c r="B26" s="786"/>
      <c r="C26" s="786"/>
      <c r="D26" s="786"/>
      <c r="E26" s="786"/>
      <c r="F26" s="786"/>
      <c r="G26" s="786"/>
      <c r="H26" s="786"/>
      <c r="I26" s="786"/>
      <c r="J26" s="786"/>
      <c r="K26" s="786"/>
      <c r="L26" s="786"/>
      <c r="M26" s="786"/>
      <c r="N26" s="374"/>
      <c r="O26" s="374"/>
      <c r="P26" s="374"/>
    </row>
    <row r="27" spans="1:16" ht="15" customHeight="1">
      <c r="A27" s="786"/>
      <c r="B27" s="786"/>
      <c r="C27" s="786"/>
      <c r="D27" s="786"/>
      <c r="E27" s="786"/>
      <c r="F27" s="786"/>
      <c r="G27" s="786"/>
      <c r="H27" s="786"/>
      <c r="I27" s="786"/>
      <c r="J27" s="786"/>
      <c r="K27" s="786"/>
      <c r="L27" s="786"/>
      <c r="M27" s="786"/>
      <c r="N27" s="374"/>
      <c r="O27" s="374"/>
      <c r="P27" s="374"/>
    </row>
    <row r="28" spans="1:16" ht="14.4" customHeight="1">
      <c r="A28" s="671" t="s">
        <v>209</v>
      </c>
      <c r="B28" s="671"/>
      <c r="C28" s="671"/>
      <c r="D28" s="114"/>
      <c r="E28" s="114"/>
      <c r="F28" s="114"/>
    </row>
    <row r="29" spans="1:16" ht="15" customHeight="1" thickBot="1">
      <c r="A29" s="672"/>
      <c r="B29" s="672"/>
      <c r="C29" s="672"/>
      <c r="D29" s="28"/>
      <c r="E29" s="28"/>
      <c r="F29" s="28"/>
    </row>
    <row r="30" spans="1:16" ht="21.6">
      <c r="A30" s="376"/>
      <c r="B30" s="255" t="s">
        <v>289</v>
      </c>
      <c r="C30" s="377" t="s">
        <v>292</v>
      </c>
      <c r="D30" s="377" t="s">
        <v>288</v>
      </c>
      <c r="E30" s="143" t="s">
        <v>290</v>
      </c>
      <c r="F30" s="193" t="s">
        <v>291</v>
      </c>
    </row>
    <row r="31" spans="1:16">
      <c r="A31" s="176" t="s">
        <v>210</v>
      </c>
      <c r="B31" s="554">
        <v>3.8</v>
      </c>
      <c r="C31" s="655">
        <v>3.4</v>
      </c>
      <c r="D31" s="555" t="s">
        <v>296</v>
      </c>
      <c r="E31" s="655">
        <v>3.6</v>
      </c>
      <c r="F31" s="556" t="s">
        <v>300</v>
      </c>
    </row>
    <row r="32" spans="1:16">
      <c r="A32" s="181" t="s">
        <v>211</v>
      </c>
      <c r="B32" s="265" t="s">
        <v>297</v>
      </c>
      <c r="C32" s="525" t="s">
        <v>297</v>
      </c>
      <c r="D32" s="250" t="s">
        <v>295</v>
      </c>
      <c r="E32" s="525" t="s">
        <v>298</v>
      </c>
      <c r="F32" s="249" t="s">
        <v>299</v>
      </c>
    </row>
    <row r="33" spans="1:6">
      <c r="A33" s="181" t="s">
        <v>212</v>
      </c>
      <c r="B33" s="554">
        <v>26.8</v>
      </c>
      <c r="C33" s="655">
        <v>30.4</v>
      </c>
      <c r="D33" s="673" t="s">
        <v>293</v>
      </c>
      <c r="E33" s="655">
        <v>28.4</v>
      </c>
      <c r="F33" s="526" t="s">
        <v>294</v>
      </c>
    </row>
    <row r="34" spans="1:6">
      <c r="A34" s="181" t="s">
        <v>213</v>
      </c>
      <c r="B34" s="265" t="s">
        <v>214</v>
      </c>
      <c r="C34" s="525" t="s">
        <v>214</v>
      </c>
      <c r="D34" s="249" t="s">
        <v>295</v>
      </c>
      <c r="E34" s="527" t="s">
        <v>214</v>
      </c>
      <c r="F34" s="527">
        <v>2024</v>
      </c>
    </row>
    <row r="35" spans="1:6">
      <c r="A35" s="176" t="s">
        <v>215</v>
      </c>
      <c r="B35" s="265" t="s">
        <v>216</v>
      </c>
      <c r="C35" s="525" t="s">
        <v>214</v>
      </c>
      <c r="D35" s="249" t="s">
        <v>295</v>
      </c>
      <c r="E35" s="528" t="s">
        <v>216</v>
      </c>
      <c r="F35" s="527">
        <v>2024</v>
      </c>
    </row>
  </sheetData>
  <mergeCells count="1">
    <mergeCell ref="A20:M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topLeftCell="A8" zoomScaleNormal="100" workbookViewId="0">
      <selection activeCell="E19" sqref="E19"/>
    </sheetView>
  </sheetViews>
  <sheetFormatPr baseColWidth="10" defaultColWidth="8.5546875" defaultRowHeight="10.8"/>
  <cols>
    <col min="1" max="1" width="50.44140625" style="1" customWidth="1"/>
    <col min="2" max="6" width="20.44140625" style="59" customWidth="1"/>
    <col min="7" max="8" width="24.44140625" style="136" customWidth="1"/>
    <col min="9" max="9" width="21.44140625" style="136" customWidth="1"/>
    <col min="10" max="10" width="24.44140625" style="1" customWidth="1"/>
    <col min="11" max="12" width="11.44140625" style="1" customWidth="1"/>
    <col min="13" max="13" width="13.44140625" style="1" customWidth="1"/>
    <col min="14" max="14" width="10.5546875" style="1" customWidth="1"/>
    <col min="15" max="15" width="11.5546875" style="1" customWidth="1"/>
    <col min="16" max="16384" width="8.5546875" style="1"/>
  </cols>
  <sheetData>
    <row r="1" spans="1:15" ht="15" customHeight="1">
      <c r="A1" s="119"/>
      <c r="B1" s="120"/>
      <c r="C1" s="121"/>
      <c r="D1" s="122"/>
      <c r="E1" s="121"/>
      <c r="F1" s="235"/>
      <c r="G1" s="123"/>
      <c r="H1" s="123"/>
      <c r="I1" s="123"/>
      <c r="J1" s="69"/>
    </row>
    <row r="2" spans="1:15" ht="15" customHeight="1">
      <c r="A2" s="18"/>
      <c r="B2" s="78"/>
      <c r="C2" s="124"/>
      <c r="E2" s="78"/>
      <c r="F2" s="78"/>
      <c r="G2" s="125"/>
      <c r="H2" s="125"/>
      <c r="I2" s="125"/>
      <c r="J2" s="69"/>
    </row>
    <row r="3" spans="1:15" ht="15" customHeight="1">
      <c r="A3" s="119"/>
      <c r="B3" s="120"/>
      <c r="C3" s="121"/>
      <c r="D3" s="122"/>
      <c r="E3" s="120"/>
      <c r="F3" s="120"/>
      <c r="G3" s="126"/>
      <c r="H3" s="127"/>
      <c r="I3" s="127"/>
      <c r="J3" s="69"/>
    </row>
    <row r="4" spans="1:15" ht="15" customHeight="1">
      <c r="A4" s="128"/>
      <c r="B4" s="78"/>
      <c r="C4" s="124"/>
      <c r="E4" s="78"/>
      <c r="F4" s="78"/>
      <c r="G4" s="125"/>
      <c r="H4" s="129"/>
      <c r="I4" s="129"/>
      <c r="J4" s="69"/>
    </row>
    <row r="5" spans="1:15" ht="14.4">
      <c r="A5" s="94"/>
      <c r="B5" s="95"/>
      <c r="C5" s="95"/>
      <c r="D5" s="95"/>
      <c r="E5" s="95"/>
      <c r="F5" s="95"/>
      <c r="G5" s="130"/>
      <c r="H5" s="130"/>
      <c r="I5" s="130"/>
      <c r="J5" s="68"/>
    </row>
    <row r="6" spans="1:15" s="135" customFormat="1" ht="25.8">
      <c r="A6" s="131" t="s">
        <v>1</v>
      </c>
      <c r="B6" s="132"/>
      <c r="C6" s="132"/>
      <c r="D6" s="132"/>
      <c r="E6" s="132"/>
      <c r="F6" s="132"/>
      <c r="G6" s="133"/>
      <c r="H6" s="133"/>
      <c r="I6" s="133"/>
      <c r="J6" s="134"/>
    </row>
    <row r="7" spans="1:15" ht="14.4">
      <c r="J7" s="68"/>
    </row>
    <row r="8" spans="1:15" ht="24.9" customHeight="1" thickBot="1">
      <c r="A8" s="137" t="s">
        <v>2</v>
      </c>
      <c r="B8" s="30"/>
      <c r="C8" s="15"/>
      <c r="D8" s="17"/>
      <c r="E8" s="16"/>
      <c r="F8" s="16"/>
      <c r="G8" s="113"/>
      <c r="H8" s="129"/>
      <c r="I8" s="138"/>
      <c r="J8" s="69"/>
      <c r="K8" s="3"/>
      <c r="L8" s="4"/>
      <c r="M8" s="4"/>
      <c r="N8" s="4"/>
    </row>
    <row r="9" spans="1:15" ht="14.4">
      <c r="A9" s="139"/>
      <c r="B9" s="140" t="s">
        <v>3</v>
      </c>
      <c r="C9" s="141">
        <v>2022</v>
      </c>
      <c r="D9" s="142">
        <v>2023</v>
      </c>
      <c r="E9" s="143">
        <v>2024</v>
      </c>
      <c r="F9" s="144" t="s">
        <v>4</v>
      </c>
      <c r="G9" s="144" t="s">
        <v>221</v>
      </c>
      <c r="H9" s="144" t="s">
        <v>310</v>
      </c>
      <c r="I9" s="145" t="s">
        <v>5</v>
      </c>
      <c r="J9" s="68"/>
      <c r="K9" s="7"/>
      <c r="L9" s="8"/>
      <c r="M9" s="8"/>
      <c r="N9" s="8"/>
      <c r="O9" s="9"/>
    </row>
    <row r="10" spans="1:15" s="23" customFormat="1" ht="14.4">
      <c r="A10" s="146" t="s">
        <v>6</v>
      </c>
      <c r="B10" s="529">
        <v>0.51200000000000001</v>
      </c>
      <c r="C10" s="530">
        <v>0.52600000000000002</v>
      </c>
      <c r="D10" s="531">
        <v>0.59099999999999997</v>
      </c>
      <c r="E10" s="530">
        <v>0.59299999999999997</v>
      </c>
      <c r="F10" s="645">
        <v>0.64600000000000002</v>
      </c>
      <c r="G10" s="532">
        <v>0.65600000000000003</v>
      </c>
      <c r="H10" s="683">
        <v>0.65800000000000003</v>
      </c>
      <c r="I10" s="151">
        <v>0.6</v>
      </c>
      <c r="J10" s="68"/>
      <c r="K10" s="26"/>
      <c r="L10" s="26"/>
      <c r="M10" s="26"/>
      <c r="N10" s="26"/>
      <c r="O10" s="26"/>
    </row>
    <row r="11" spans="1:15" s="23" customFormat="1" ht="14.4">
      <c r="A11" s="152" t="s">
        <v>7</v>
      </c>
      <c r="B11" s="529">
        <v>0.122</v>
      </c>
      <c r="C11" s="533">
        <v>0.153</v>
      </c>
      <c r="D11" s="534">
        <v>0.17399999999999999</v>
      </c>
      <c r="E11" s="533">
        <v>0.26100000000000001</v>
      </c>
      <c r="F11" s="646">
        <v>0.33600000000000002</v>
      </c>
      <c r="G11" s="535">
        <v>0.32300000000000001</v>
      </c>
      <c r="H11" s="684">
        <v>0.29899999999999999</v>
      </c>
      <c r="I11" s="156">
        <v>0.2</v>
      </c>
      <c r="J11" s="68"/>
      <c r="K11" s="26"/>
      <c r="L11" s="26"/>
      <c r="M11" s="26"/>
      <c r="N11" s="26"/>
      <c r="O11" s="26"/>
    </row>
    <row r="12" spans="1:15" s="23" customFormat="1" ht="14.4">
      <c r="A12" s="152" t="s">
        <v>224</v>
      </c>
      <c r="B12" s="177">
        <v>8.3999999999999995E-3</v>
      </c>
      <c r="C12" s="536">
        <v>9.4000000000000004E-3</v>
      </c>
      <c r="D12" s="509">
        <v>1.18E-2</v>
      </c>
      <c r="E12" s="536">
        <v>1.2200000000000001E-2</v>
      </c>
      <c r="F12" s="647">
        <v>7.7999999999999996E-3</v>
      </c>
      <c r="G12" s="537">
        <v>1.0200000000000001E-2</v>
      </c>
      <c r="H12" s="685">
        <v>1.14E-2</v>
      </c>
      <c r="I12" s="538">
        <v>8.9999999999999993E-3</v>
      </c>
      <c r="J12" s="68"/>
      <c r="K12" s="25"/>
      <c r="L12" s="25"/>
      <c r="M12" s="25"/>
      <c r="N12" s="25"/>
      <c r="O12" s="25"/>
    </row>
    <row r="13" spans="1:15" ht="15" thickBot="1">
      <c r="A13" s="158"/>
      <c r="B13" s="159"/>
      <c r="C13" s="160"/>
      <c r="D13" s="161"/>
      <c r="E13" s="161"/>
      <c r="F13" s="162"/>
      <c r="G13" s="162"/>
      <c r="H13" s="129"/>
      <c r="I13" s="163"/>
      <c r="J13" s="69"/>
    </row>
    <row r="14" spans="1:15" ht="14.4">
      <c r="A14" s="164"/>
      <c r="B14" s="165"/>
      <c r="C14" s="166"/>
      <c r="D14" s="167"/>
      <c r="E14" s="167"/>
      <c r="F14" s="168"/>
      <c r="G14" s="168"/>
      <c r="H14" s="169"/>
      <c r="I14" s="169"/>
      <c r="J14" s="69"/>
      <c r="K14" s="61"/>
      <c r="L14" s="61"/>
      <c r="M14" s="61"/>
    </row>
    <row r="15" spans="1:15" ht="24.9" customHeight="1" thickBot="1">
      <c r="A15" s="137" t="s">
        <v>8</v>
      </c>
      <c r="B15" s="30"/>
      <c r="C15" s="15"/>
      <c r="D15" s="17"/>
      <c r="E15" s="17"/>
      <c r="F15" s="36"/>
      <c r="G15" s="36"/>
      <c r="H15" s="686"/>
      <c r="I15" s="170"/>
      <c r="J15" s="69"/>
      <c r="K15" s="61"/>
      <c r="L15" s="61"/>
      <c r="M15" s="61"/>
    </row>
    <row r="16" spans="1:15" ht="14.4">
      <c r="A16" s="139"/>
      <c r="B16" s="171" t="s">
        <v>3</v>
      </c>
      <c r="C16" s="172">
        <v>2022</v>
      </c>
      <c r="D16" s="173">
        <v>2023</v>
      </c>
      <c r="E16" s="143">
        <v>2024</v>
      </c>
      <c r="F16" s="174" t="s">
        <v>4</v>
      </c>
      <c r="G16" s="144" t="s">
        <v>221</v>
      </c>
      <c r="H16" s="144" t="s">
        <v>310</v>
      </c>
      <c r="I16" s="175" t="s">
        <v>5</v>
      </c>
      <c r="J16" s="68"/>
      <c r="K16" s="61"/>
      <c r="L16" s="61"/>
      <c r="M16" s="61"/>
    </row>
    <row r="17" spans="1:13" ht="14.4">
      <c r="A17" s="176" t="s">
        <v>223</v>
      </c>
      <c r="B17" s="529">
        <v>0</v>
      </c>
      <c r="C17" s="530">
        <v>-7.0000000000000001E-3</v>
      </c>
      <c r="D17" s="531">
        <v>-5.6000000000000001E-2</v>
      </c>
      <c r="E17" s="531">
        <v>0.48599999999999999</v>
      </c>
      <c r="F17" s="645" t="s">
        <v>9</v>
      </c>
      <c r="G17" s="532" t="s">
        <v>9</v>
      </c>
      <c r="H17" s="683" t="s">
        <v>9</v>
      </c>
      <c r="I17" s="151">
        <v>-0.3</v>
      </c>
      <c r="J17" s="68"/>
      <c r="K17" s="61"/>
      <c r="L17" s="61"/>
      <c r="M17" s="61"/>
    </row>
    <row r="18" spans="1:13" ht="14.4">
      <c r="A18" s="181" t="s">
        <v>10</v>
      </c>
      <c r="B18" s="182">
        <v>0.24</v>
      </c>
      <c r="C18" s="183">
        <v>0.27</v>
      </c>
      <c r="D18" s="184">
        <v>0.27</v>
      </c>
      <c r="E18" s="184">
        <v>0.31</v>
      </c>
      <c r="F18" s="648">
        <v>0.23</v>
      </c>
      <c r="G18" s="185">
        <v>0.28899999999999998</v>
      </c>
      <c r="H18" s="687">
        <v>0.28000000000000003</v>
      </c>
      <c r="I18" s="186">
        <v>0.22</v>
      </c>
      <c r="J18" s="68"/>
      <c r="K18" s="61"/>
      <c r="L18" s="61"/>
      <c r="M18" s="61"/>
    </row>
    <row r="19" spans="1:13" ht="14.4">
      <c r="A19" s="181" t="s">
        <v>11</v>
      </c>
      <c r="B19" s="147">
        <v>0.73</v>
      </c>
      <c r="C19" s="153">
        <v>0.69</v>
      </c>
      <c r="D19" s="154">
        <v>0.63</v>
      </c>
      <c r="E19" s="154">
        <v>0.56999999999999995</v>
      </c>
      <c r="F19" s="649">
        <v>0.77</v>
      </c>
      <c r="G19" s="155">
        <v>0.88700000000000001</v>
      </c>
      <c r="H19" s="688">
        <v>0.85899999999999999</v>
      </c>
      <c r="I19" s="157">
        <v>0.8</v>
      </c>
      <c r="J19" s="68"/>
    </row>
    <row r="20" spans="1:13" ht="14.4">
      <c r="A20" s="181" t="s">
        <v>12</v>
      </c>
      <c r="B20" s="539">
        <v>1.0009999999999999</v>
      </c>
      <c r="C20" s="540">
        <v>1.052</v>
      </c>
      <c r="D20" s="541">
        <v>0.93100000000000005</v>
      </c>
      <c r="E20" s="541">
        <v>0.92700000000000005</v>
      </c>
      <c r="F20" s="650">
        <v>0.871</v>
      </c>
      <c r="G20" s="542">
        <v>0.83</v>
      </c>
      <c r="H20" s="689">
        <v>0.78700000000000003</v>
      </c>
      <c r="I20" s="186">
        <v>0.9</v>
      </c>
      <c r="J20" s="68"/>
    </row>
    <row r="21" spans="1:13" ht="14.4">
      <c r="A21" s="176" t="s">
        <v>13</v>
      </c>
      <c r="B21" s="543">
        <v>193</v>
      </c>
      <c r="C21" s="544">
        <v>171</v>
      </c>
      <c r="D21" s="545" t="s">
        <v>14</v>
      </c>
      <c r="E21" s="545">
        <v>138</v>
      </c>
      <c r="F21" s="651">
        <v>132</v>
      </c>
      <c r="G21" s="546">
        <v>132</v>
      </c>
      <c r="H21" s="690">
        <v>120</v>
      </c>
      <c r="I21" s="547">
        <v>174</v>
      </c>
      <c r="J21" s="68"/>
    </row>
    <row r="22" spans="1:13" ht="14.4">
      <c r="A22" s="20"/>
      <c r="B22" s="121"/>
      <c r="C22" s="120"/>
      <c r="D22" s="121"/>
      <c r="E22" s="120"/>
      <c r="F22" s="190"/>
      <c r="G22" s="190"/>
      <c r="H22" s="691"/>
      <c r="J22" s="69"/>
    </row>
    <row r="23" spans="1:13" ht="14.4">
      <c r="A23" s="191"/>
      <c r="B23" s="121"/>
      <c r="C23" s="120"/>
      <c r="D23" s="121"/>
      <c r="E23" s="122"/>
      <c r="F23" s="123"/>
      <c r="G23" s="123"/>
      <c r="J23" s="69"/>
    </row>
    <row r="24" spans="1:13" ht="24.9" customHeight="1" thickBot="1">
      <c r="A24" s="137" t="s">
        <v>15</v>
      </c>
      <c r="B24" s="19"/>
      <c r="C24" s="15"/>
      <c r="D24" s="17"/>
      <c r="E24" s="17"/>
      <c r="F24" s="37"/>
      <c r="G24" s="37"/>
      <c r="H24" s="686"/>
      <c r="I24" s="192"/>
      <c r="J24" s="69"/>
      <c r="K24" s="61"/>
      <c r="L24" s="61"/>
      <c r="M24" s="61"/>
    </row>
    <row r="25" spans="1:13" ht="14.4">
      <c r="A25" s="139"/>
      <c r="B25" s="171" t="s">
        <v>3</v>
      </c>
      <c r="C25" s="141">
        <v>2022</v>
      </c>
      <c r="D25" s="143">
        <v>2023</v>
      </c>
      <c r="E25" s="193">
        <v>2024</v>
      </c>
      <c r="F25" s="144" t="s">
        <v>4</v>
      </c>
      <c r="G25" s="144" t="s">
        <v>221</v>
      </c>
      <c r="H25" s="144" t="s">
        <v>310</v>
      </c>
      <c r="I25" s="175" t="s">
        <v>5</v>
      </c>
      <c r="J25" s="68"/>
      <c r="K25" s="61"/>
      <c r="L25" s="61"/>
      <c r="M25" s="61"/>
    </row>
    <row r="26" spans="1:13" ht="14.4">
      <c r="A26" s="176" t="s">
        <v>225</v>
      </c>
      <c r="B26" s="177">
        <v>8.6499999999999994E-2</v>
      </c>
      <c r="C26" s="178">
        <v>8.7800000000000003E-2</v>
      </c>
      <c r="D26" s="179">
        <v>9.6199999999999994E-2</v>
      </c>
      <c r="E26" s="179">
        <v>0.1</v>
      </c>
      <c r="F26" s="652">
        <v>0.1</v>
      </c>
      <c r="G26" s="180">
        <v>0.1016</v>
      </c>
      <c r="H26" s="692">
        <v>0.1014</v>
      </c>
      <c r="I26" s="156">
        <v>0.11</v>
      </c>
      <c r="J26" s="68"/>
      <c r="K26" s="61"/>
      <c r="L26" s="61"/>
      <c r="M26" s="61"/>
    </row>
    <row r="27" spans="1:13" ht="14.4">
      <c r="A27" s="181" t="s">
        <v>16</v>
      </c>
      <c r="B27" s="177">
        <v>0.15190000000000001</v>
      </c>
      <c r="C27" s="536">
        <v>0.14829999999999999</v>
      </c>
      <c r="D27" s="509">
        <v>0.17979999999999999</v>
      </c>
      <c r="E27" s="509">
        <v>0.1716</v>
      </c>
      <c r="F27" s="647">
        <v>0.15909999999999999</v>
      </c>
      <c r="G27" s="537">
        <v>0.16539999999999999</v>
      </c>
      <c r="H27" s="693">
        <v>0.16039999999999999</v>
      </c>
      <c r="I27" s="156">
        <v>0.2</v>
      </c>
      <c r="J27" s="68"/>
      <c r="K27" s="61"/>
      <c r="L27" s="61"/>
      <c r="M27" s="61"/>
    </row>
    <row r="28" spans="1:13" ht="14.4">
      <c r="A28" s="181" t="s">
        <v>17</v>
      </c>
      <c r="B28" s="177">
        <v>4.99E-2</v>
      </c>
      <c r="C28" s="536">
        <v>3.9199999999999999E-2</v>
      </c>
      <c r="D28" s="509">
        <v>4.5199999999999997E-2</v>
      </c>
      <c r="E28" s="509">
        <v>4.9599999999999998E-2</v>
      </c>
      <c r="F28" s="647">
        <v>4.7E-2</v>
      </c>
      <c r="G28" s="537">
        <v>4.5900000000000003E-2</v>
      </c>
      <c r="H28" s="693">
        <v>4.1799999999999997E-2</v>
      </c>
      <c r="I28" s="194" t="s">
        <v>222</v>
      </c>
      <c r="J28" s="68"/>
    </row>
    <row r="29" spans="1:13" ht="14.4">
      <c r="A29" s="195"/>
      <c r="B29" s="72"/>
      <c r="C29" s="120"/>
      <c r="D29" s="196"/>
      <c r="E29" s="120"/>
      <c r="F29" s="197"/>
      <c r="G29" s="197"/>
      <c r="H29" s="198"/>
      <c r="I29" s="198"/>
      <c r="J29" s="69"/>
    </row>
    <row r="30" spans="1:13" ht="14.4">
      <c r="A30" s="80"/>
      <c r="B30" s="120"/>
      <c r="C30" s="120"/>
      <c r="D30" s="121"/>
      <c r="E30" s="120"/>
      <c r="F30" s="197"/>
      <c r="G30" s="197"/>
      <c r="H30" s="199"/>
      <c r="I30" s="199"/>
      <c r="J30" s="69"/>
    </row>
    <row r="31" spans="1:13" ht="24.9" customHeight="1" thickBot="1">
      <c r="A31" s="137" t="s">
        <v>18</v>
      </c>
      <c r="B31" s="30"/>
      <c r="C31" s="15"/>
      <c r="D31" s="17"/>
      <c r="E31" s="17"/>
      <c r="F31" s="37"/>
      <c r="G31" s="37"/>
      <c r="H31" s="694"/>
      <c r="I31" s="200"/>
      <c r="J31" s="69"/>
    </row>
    <row r="32" spans="1:13" ht="14.4">
      <c r="A32" s="139"/>
      <c r="B32" s="140" t="s">
        <v>3</v>
      </c>
      <c r="C32" s="201">
        <v>2022</v>
      </c>
      <c r="D32" s="143">
        <v>2023</v>
      </c>
      <c r="E32" s="193">
        <v>2024</v>
      </c>
      <c r="F32" s="144" t="s">
        <v>4</v>
      </c>
      <c r="G32" s="144" t="s">
        <v>221</v>
      </c>
      <c r="H32" s="144" t="s">
        <v>310</v>
      </c>
      <c r="I32" s="175" t="s">
        <v>5</v>
      </c>
      <c r="J32" s="68"/>
    </row>
    <row r="33" spans="1:10" ht="14.4">
      <c r="A33" s="176" t="s">
        <v>226</v>
      </c>
      <c r="B33" s="548">
        <v>2</v>
      </c>
      <c r="C33" s="549">
        <v>0</v>
      </c>
      <c r="D33" s="550">
        <v>0</v>
      </c>
      <c r="E33" s="550">
        <v>0</v>
      </c>
      <c r="F33" s="653">
        <v>0</v>
      </c>
      <c r="G33" s="551">
        <v>0</v>
      </c>
      <c r="H33" s="695">
        <v>0</v>
      </c>
      <c r="I33" s="552">
        <v>0</v>
      </c>
      <c r="J33" s="68"/>
    </row>
    <row r="34" spans="1:10" ht="14.4">
      <c r="A34" s="181" t="s">
        <v>227</v>
      </c>
      <c r="B34" s="182">
        <v>1.26</v>
      </c>
      <c r="C34" s="183">
        <v>1.37</v>
      </c>
      <c r="D34" s="184">
        <v>0.99</v>
      </c>
      <c r="E34" s="184">
        <v>1.25</v>
      </c>
      <c r="F34" s="648">
        <v>0.82</v>
      </c>
      <c r="G34" s="185">
        <v>1.08</v>
      </c>
      <c r="H34" s="687">
        <v>1.19</v>
      </c>
      <c r="I34" s="186">
        <v>1.2</v>
      </c>
      <c r="J34" s="68"/>
    </row>
    <row r="35" spans="1:10" ht="14.4">
      <c r="A35" s="195"/>
      <c r="B35" s="72"/>
      <c r="C35" s="120"/>
      <c r="D35" s="196"/>
      <c r="E35" s="120"/>
      <c r="F35" s="197"/>
      <c r="G35" s="197"/>
      <c r="H35" s="198"/>
      <c r="I35" s="198"/>
      <c r="J35" s="69"/>
    </row>
    <row r="36" spans="1:10" ht="14.4">
      <c r="A36" s="80"/>
      <c r="B36" s="120"/>
      <c r="C36" s="120"/>
      <c r="D36" s="121"/>
      <c r="E36" s="120"/>
      <c r="F36" s="197"/>
      <c r="G36" s="197"/>
      <c r="H36" s="199"/>
      <c r="I36" s="199"/>
      <c r="J36" s="69"/>
    </row>
    <row r="37" spans="1:10" ht="24.9" customHeight="1" thickBot="1">
      <c r="A37" s="137" t="s">
        <v>19</v>
      </c>
      <c r="B37" s="30"/>
      <c r="C37" s="15"/>
      <c r="D37" s="17"/>
      <c r="E37" s="17"/>
      <c r="F37" s="37"/>
      <c r="G37" s="37"/>
      <c r="H37" s="694"/>
      <c r="I37" s="200"/>
      <c r="J37" s="69"/>
    </row>
    <row r="38" spans="1:10" ht="14.4">
      <c r="A38" s="139"/>
      <c r="B38" s="140" t="s">
        <v>3</v>
      </c>
      <c r="C38" s="201">
        <v>2022</v>
      </c>
      <c r="D38" s="143">
        <v>2023</v>
      </c>
      <c r="E38" s="193">
        <v>2024</v>
      </c>
      <c r="F38" s="144" t="s">
        <v>4</v>
      </c>
      <c r="G38" s="144" t="s">
        <v>221</v>
      </c>
      <c r="H38" s="144" t="s">
        <v>310</v>
      </c>
      <c r="I38" s="175" t="s">
        <v>5</v>
      </c>
      <c r="J38" s="68"/>
    </row>
    <row r="39" spans="1:10" ht="14.4">
      <c r="A39" s="176" t="s">
        <v>20</v>
      </c>
      <c r="B39" s="147">
        <v>0.44</v>
      </c>
      <c r="C39" s="148">
        <v>0.56000000000000005</v>
      </c>
      <c r="D39" s="149">
        <v>0.63</v>
      </c>
      <c r="E39" s="149">
        <v>0.63</v>
      </c>
      <c r="F39" s="149">
        <v>0.63</v>
      </c>
      <c r="G39" s="150">
        <v>0.625</v>
      </c>
      <c r="H39" s="696">
        <v>0.625</v>
      </c>
      <c r="I39" s="186" t="s">
        <v>21</v>
      </c>
      <c r="J39" s="68"/>
    </row>
    <row r="40" spans="1:10" ht="14.4">
      <c r="A40" s="181" t="s">
        <v>22</v>
      </c>
      <c r="B40" s="654">
        <v>6.2</v>
      </c>
      <c r="C40" s="655">
        <v>5</v>
      </c>
      <c r="D40" s="656">
        <v>5.5</v>
      </c>
      <c r="E40" s="656">
        <v>6.5</v>
      </c>
      <c r="F40" s="658">
        <v>6.7</v>
      </c>
      <c r="G40" s="657">
        <v>5.5</v>
      </c>
      <c r="H40" s="697">
        <v>5.7</v>
      </c>
      <c r="I40" s="186" t="s">
        <v>275</v>
      </c>
      <c r="J40" s="68"/>
    </row>
    <row r="41" spans="1:10" ht="14.4">
      <c r="A41" s="181" t="s">
        <v>23</v>
      </c>
      <c r="B41" s="147">
        <v>0.33</v>
      </c>
      <c r="C41" s="153">
        <v>0.33</v>
      </c>
      <c r="D41" s="154">
        <v>0.38</v>
      </c>
      <c r="E41" s="154">
        <v>0.38</v>
      </c>
      <c r="F41" s="154">
        <v>0.38</v>
      </c>
      <c r="G41" s="155">
        <v>0.375</v>
      </c>
      <c r="H41" s="698">
        <v>0.38</v>
      </c>
      <c r="I41" s="156">
        <v>0.4</v>
      </c>
      <c r="J41" s="68"/>
    </row>
    <row r="42" spans="1:10" ht="14.4">
      <c r="A42" s="202"/>
      <c r="B42" s="203"/>
      <c r="C42" s="204"/>
      <c r="D42" s="205"/>
      <c r="E42" s="203"/>
      <c r="F42" s="124"/>
      <c r="G42" s="198"/>
      <c r="I42" s="206"/>
      <c r="J42" s="69"/>
    </row>
    <row r="43" spans="1:10" ht="14.4">
      <c r="A43" s="135"/>
      <c r="B43" s="132"/>
      <c r="C43" s="132"/>
      <c r="D43" s="207"/>
      <c r="E43" s="208"/>
      <c r="F43" s="207"/>
      <c r="G43" s="209"/>
      <c r="H43" s="133"/>
      <c r="I43" s="133"/>
      <c r="J43" s="210"/>
    </row>
    <row r="44" spans="1:10" s="212" customFormat="1" ht="30" customHeight="1">
      <c r="A44" s="713" t="s">
        <v>24</v>
      </c>
      <c r="B44" s="714"/>
      <c r="C44" s="714"/>
      <c r="D44" s="714"/>
      <c r="E44" s="714"/>
      <c r="F44" s="714"/>
      <c r="G44" s="714"/>
      <c r="H44" s="714"/>
      <c r="I44" s="715"/>
      <c r="J44" s="211"/>
    </row>
    <row r="45" spans="1:10">
      <c r="A45" s="119"/>
      <c r="B45" s="121"/>
      <c r="C45" s="120"/>
      <c r="D45" s="120"/>
      <c r="E45" s="120"/>
      <c r="F45" s="120"/>
      <c r="G45" s="190"/>
      <c r="H45" s="190"/>
      <c r="I45" s="190"/>
      <c r="J45" s="120"/>
    </row>
    <row r="46" spans="1:10">
      <c r="A46" s="80"/>
      <c r="B46" s="124"/>
      <c r="C46" s="124"/>
      <c r="D46" s="78"/>
      <c r="E46" s="124"/>
      <c r="I46" s="125"/>
    </row>
    <row r="47" spans="1:10">
      <c r="B47" s="124"/>
      <c r="C47" s="124"/>
      <c r="D47" s="78"/>
      <c r="E47" s="124"/>
      <c r="I47" s="125"/>
    </row>
    <row r="48" spans="1:10">
      <c r="C48" s="124"/>
      <c r="D48" s="78"/>
      <c r="E48" s="124"/>
      <c r="I48" s="125"/>
    </row>
    <row r="49" spans="3:9">
      <c r="C49" s="124"/>
      <c r="D49" s="78"/>
      <c r="E49" s="124"/>
      <c r="I49" s="125"/>
    </row>
    <row r="50" spans="3:9">
      <c r="C50" s="124"/>
      <c r="D50" s="78"/>
      <c r="E50" s="124"/>
      <c r="I50" s="125"/>
    </row>
    <row r="51" spans="3:9">
      <c r="C51" s="124"/>
      <c r="D51" s="78"/>
      <c r="E51" s="124"/>
      <c r="I51" s="125"/>
    </row>
    <row r="52" spans="3:9">
      <c r="E52" s="124"/>
      <c r="I52" s="125"/>
    </row>
    <row r="53" spans="3:9">
      <c r="I53" s="125"/>
    </row>
    <row r="54" spans="3:9">
      <c r="I54" s="125"/>
    </row>
    <row r="55" spans="3:9">
      <c r="I55" s="125"/>
    </row>
    <row r="56" spans="3:9">
      <c r="I56" s="125"/>
    </row>
    <row r="57" spans="3:9">
      <c r="I57" s="125"/>
    </row>
    <row r="58" spans="3:9">
      <c r="I58" s="125"/>
    </row>
    <row r="59" spans="3:9">
      <c r="I59" s="125"/>
    </row>
    <row r="60" spans="3:9">
      <c r="I60" s="125"/>
    </row>
    <row r="61" spans="3:9">
      <c r="I61" s="125"/>
    </row>
    <row r="62" spans="3:9">
      <c r="I62" s="125"/>
    </row>
    <row r="63" spans="3:9">
      <c r="I63" s="125"/>
    </row>
    <row r="64" spans="3:9">
      <c r="I64" s="125"/>
    </row>
    <row r="65" spans="9:9">
      <c r="I65" s="125"/>
    </row>
    <row r="66" spans="9:9">
      <c r="I66" s="125"/>
    </row>
    <row r="67" spans="9:9">
      <c r="I67" s="125"/>
    </row>
    <row r="68" spans="9:9">
      <c r="I68" s="125"/>
    </row>
    <row r="69" spans="9:9">
      <c r="I69" s="125"/>
    </row>
    <row r="70" spans="9:9">
      <c r="I70" s="125"/>
    </row>
    <row r="71" spans="9:9">
      <c r="I71" s="125"/>
    </row>
    <row r="72" spans="9:9">
      <c r="I72" s="125"/>
    </row>
    <row r="73" spans="9:9">
      <c r="I73" s="125"/>
    </row>
    <row r="74" spans="9:9">
      <c r="I74" s="125"/>
    </row>
    <row r="75" spans="9:9">
      <c r="I75" s="123"/>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4"/>
  <sheetViews>
    <sheetView showGridLines="0" topLeftCell="A8" zoomScaleNormal="100" workbookViewId="0">
      <selection activeCell="A50" sqref="A50"/>
    </sheetView>
  </sheetViews>
  <sheetFormatPr baseColWidth="10" defaultColWidth="11.44140625" defaultRowHeight="14.4"/>
  <cols>
    <col min="1" max="1" width="58.5546875" style="61" customWidth="1"/>
    <col min="2" max="2" width="15.88671875" style="60" customWidth="1"/>
    <col min="3" max="4" width="11.33203125" style="61" bestFit="1" customWidth="1"/>
    <col min="5" max="5" width="12.6640625" style="61" bestFit="1" customWidth="1"/>
    <col min="6" max="16384" width="11.44140625" style="61"/>
  </cols>
  <sheetData>
    <row r="1" spans="1:9" ht="15" customHeight="1"/>
    <row r="2" spans="1:9" ht="15" customHeight="1"/>
    <row r="3" spans="1:9" ht="15" customHeight="1"/>
    <row r="4" spans="1:9" ht="15" customHeight="1"/>
    <row r="5" spans="1:9" ht="15" customHeight="1">
      <c r="A5" s="91"/>
      <c r="B5" s="92"/>
      <c r="C5" s="91"/>
      <c r="D5" s="91"/>
      <c r="E5" s="91"/>
      <c r="F5" s="91"/>
      <c r="G5" s="91"/>
      <c r="H5" s="91"/>
      <c r="I5" s="91"/>
    </row>
    <row r="6" spans="1:9" ht="15" customHeight="1">
      <c r="A6" s="114"/>
      <c r="B6" s="115"/>
      <c r="C6" s="114"/>
      <c r="D6" s="114"/>
      <c r="E6" s="114"/>
      <c r="F6" s="114"/>
      <c r="G6" s="114"/>
      <c r="H6" s="114"/>
      <c r="I6" s="114"/>
    </row>
    <row r="7" spans="1:9" ht="15" customHeight="1">
      <c r="B7" s="115"/>
      <c r="C7" s="114"/>
      <c r="D7" s="114"/>
      <c r="E7" s="114"/>
      <c r="F7" s="114"/>
      <c r="G7" s="114"/>
      <c r="H7" s="114"/>
      <c r="I7" s="114"/>
    </row>
    <row r="8" spans="1:9" ht="15" customHeight="1">
      <c r="A8" s="114"/>
      <c r="B8" s="115"/>
      <c r="C8" s="114"/>
      <c r="D8" s="114"/>
      <c r="E8" s="114"/>
      <c r="F8" s="114"/>
      <c r="G8" s="114"/>
      <c r="H8" s="114"/>
      <c r="I8" s="114"/>
    </row>
    <row r="9" spans="1:9" ht="15" customHeight="1">
      <c r="A9" s="114"/>
      <c r="B9" s="115"/>
      <c r="C9" s="114"/>
      <c r="D9" s="114"/>
      <c r="E9" s="114"/>
      <c r="F9" s="114"/>
      <c r="G9" s="114"/>
      <c r="H9" s="114"/>
      <c r="I9" s="114"/>
    </row>
    <row r="10" spans="1:9" ht="15" customHeight="1">
      <c r="A10" s="114"/>
      <c r="B10" s="115"/>
      <c r="C10" s="114"/>
      <c r="D10" s="114"/>
      <c r="E10" s="114"/>
      <c r="F10" s="114"/>
      <c r="G10" s="114"/>
      <c r="H10" s="114"/>
      <c r="I10" s="114"/>
    </row>
    <row r="11" spans="1:9" ht="15" customHeight="1">
      <c r="A11" s="114"/>
      <c r="B11" s="115"/>
      <c r="C11" s="114"/>
      <c r="D11" s="114"/>
      <c r="E11" s="114"/>
      <c r="F11" s="114"/>
      <c r="G11" s="114"/>
      <c r="H11" s="114"/>
      <c r="I11" s="114"/>
    </row>
    <row r="12" spans="1:9" ht="15" customHeight="1">
      <c r="A12" s="114"/>
      <c r="B12" s="115"/>
      <c r="C12" s="114"/>
      <c r="D12" s="114"/>
      <c r="E12" s="114"/>
      <c r="F12" s="114"/>
      <c r="G12" s="114"/>
      <c r="H12" s="114"/>
      <c r="I12" s="114"/>
    </row>
    <row r="13" spans="1:9" ht="15" customHeight="1">
      <c r="A13" s="114"/>
      <c r="B13" s="115"/>
      <c r="C13" s="114"/>
      <c r="D13" s="114"/>
      <c r="E13" s="114"/>
      <c r="F13" s="114"/>
      <c r="G13" s="114"/>
      <c r="H13" s="114"/>
      <c r="I13" s="114"/>
    </row>
    <row r="14" spans="1:9" ht="15" customHeight="1">
      <c r="A14" s="114"/>
      <c r="B14" s="115"/>
      <c r="C14" s="114"/>
      <c r="D14" s="114"/>
      <c r="E14" s="114"/>
      <c r="F14" s="114"/>
      <c r="G14" s="114"/>
      <c r="H14" s="114"/>
      <c r="I14" s="114"/>
    </row>
    <row r="15" spans="1:9" ht="15" customHeight="1">
      <c r="A15" s="114"/>
      <c r="B15" s="115"/>
      <c r="C15" s="114"/>
      <c r="D15" s="114"/>
      <c r="E15" s="114"/>
      <c r="F15" s="114"/>
      <c r="G15" s="114"/>
      <c r="H15" s="114"/>
      <c r="I15" s="114"/>
    </row>
    <row r="16" spans="1:9" ht="15" customHeight="1">
      <c r="A16" s="114"/>
      <c r="B16" s="115"/>
      <c r="C16" s="114"/>
      <c r="D16" s="114"/>
      <c r="E16" s="114"/>
      <c r="F16" s="114"/>
      <c r="G16" s="114"/>
      <c r="H16" s="114"/>
      <c r="I16" s="114"/>
    </row>
    <row r="17" spans="1:9" ht="15" customHeight="1">
      <c r="A17" s="114"/>
      <c r="B17" s="115"/>
      <c r="C17" s="114"/>
      <c r="D17" s="114"/>
      <c r="E17" s="114"/>
      <c r="F17" s="114"/>
      <c r="G17" s="114"/>
      <c r="H17" s="114"/>
      <c r="I17" s="114"/>
    </row>
    <row r="18" spans="1:9" ht="15" customHeight="1">
      <c r="A18" s="114"/>
      <c r="B18" s="115"/>
      <c r="C18" s="114"/>
      <c r="D18" s="114"/>
      <c r="E18" s="114"/>
      <c r="F18" s="114"/>
      <c r="G18" s="114"/>
      <c r="H18" s="114"/>
      <c r="I18" s="114"/>
    </row>
    <row r="19" spans="1:9" ht="15" customHeight="1">
      <c r="A19" s="114"/>
      <c r="B19" s="115"/>
      <c r="C19" s="114"/>
      <c r="D19" s="114"/>
      <c r="E19" s="114"/>
      <c r="F19" s="114"/>
      <c r="G19" s="114"/>
      <c r="H19" s="114"/>
      <c r="I19" s="114"/>
    </row>
    <row r="20" spans="1:9" ht="15" customHeight="1">
      <c r="A20" s="114"/>
      <c r="B20" s="115"/>
      <c r="C20" s="114"/>
      <c r="D20" s="114"/>
      <c r="E20" s="114"/>
      <c r="F20" s="114"/>
      <c r="G20" s="114"/>
      <c r="H20" s="114"/>
      <c r="I20" s="114"/>
    </row>
    <row r="21" spans="1:9" ht="15" customHeight="1">
      <c r="A21" s="719" t="s">
        <v>217</v>
      </c>
      <c r="B21" s="719"/>
      <c r="C21" s="719"/>
      <c r="D21" s="719"/>
      <c r="E21" s="719"/>
      <c r="F21" s="719"/>
      <c r="G21" s="719"/>
      <c r="H21" s="719"/>
    </row>
    <row r="22" spans="1:9" ht="15" customHeight="1">
      <c r="A22" s="719"/>
      <c r="B22" s="719"/>
      <c r="C22" s="719"/>
      <c r="D22" s="719"/>
      <c r="E22" s="719"/>
      <c r="F22" s="719"/>
      <c r="G22" s="719"/>
      <c r="H22" s="719"/>
    </row>
    <row r="23" spans="1:9" ht="15" customHeight="1">
      <c r="A23" s="719"/>
      <c r="B23" s="719"/>
      <c r="C23" s="719"/>
      <c r="D23" s="719"/>
      <c r="E23" s="719"/>
      <c r="F23" s="719"/>
      <c r="G23" s="719"/>
      <c r="H23" s="719"/>
    </row>
    <row r="24" spans="1:9" ht="15" customHeight="1">
      <c r="A24" s="719"/>
      <c r="B24" s="719"/>
      <c r="C24" s="719"/>
      <c r="D24" s="719"/>
      <c r="E24" s="719"/>
      <c r="F24" s="719"/>
      <c r="G24" s="719"/>
      <c r="H24" s="719"/>
    </row>
    <row r="25" spans="1:9" ht="15" customHeight="1">
      <c r="A25" s="719"/>
      <c r="B25" s="719"/>
      <c r="C25" s="719"/>
      <c r="D25" s="719"/>
      <c r="E25" s="719"/>
      <c r="F25" s="719"/>
      <c r="G25" s="719"/>
      <c r="H25" s="719"/>
    </row>
    <row r="26" spans="1:9" ht="15" customHeight="1">
      <c r="A26" s="719"/>
      <c r="B26" s="719"/>
      <c r="C26" s="719"/>
      <c r="D26" s="719"/>
      <c r="E26" s="719"/>
      <c r="F26" s="719"/>
      <c r="G26" s="719"/>
      <c r="H26" s="719"/>
    </row>
    <row r="27" spans="1:9" ht="15" customHeight="1">
      <c r="A27" s="719"/>
      <c r="B27" s="719"/>
      <c r="C27" s="719"/>
      <c r="D27" s="719"/>
      <c r="E27" s="719"/>
      <c r="F27" s="719"/>
      <c r="G27" s="719"/>
      <c r="H27" s="719"/>
    </row>
    <row r="28" spans="1:9" ht="15" customHeight="1">
      <c r="A28" s="719"/>
      <c r="B28" s="719"/>
      <c r="C28" s="719"/>
      <c r="D28" s="719"/>
      <c r="E28" s="719"/>
      <c r="F28" s="719"/>
      <c r="G28" s="719"/>
      <c r="H28" s="719"/>
    </row>
    <row r="29" spans="1:9" ht="19.2" customHeight="1">
      <c r="A29" s="719"/>
      <c r="B29" s="719"/>
      <c r="C29" s="719"/>
      <c r="D29" s="719"/>
      <c r="E29" s="719"/>
      <c r="F29" s="719"/>
      <c r="G29" s="719"/>
      <c r="H29" s="719"/>
    </row>
    <row r="30" spans="1:9" ht="18" customHeight="1"/>
    <row r="31" spans="1:9">
      <c r="A31" s="717" t="s">
        <v>272</v>
      </c>
    </row>
    <row r="32" spans="1:9" ht="15" customHeight="1" thickBot="1">
      <c r="A32" s="718"/>
      <c r="B32" s="111"/>
      <c r="C32" s="112"/>
      <c r="D32" s="112"/>
    </row>
    <row r="33" spans="1:9" ht="15" customHeight="1">
      <c r="A33" s="213"/>
      <c r="B33" s="214" t="s">
        <v>64</v>
      </c>
      <c r="C33" s="214" t="s">
        <v>25</v>
      </c>
      <c r="D33" s="214" t="s">
        <v>26</v>
      </c>
      <c r="E33" s="38"/>
    </row>
    <row r="34" spans="1:9" ht="15" customHeight="1">
      <c r="A34" s="215" t="s">
        <v>27</v>
      </c>
      <c r="B34" s="644">
        <v>741000</v>
      </c>
      <c r="C34" s="216">
        <v>691000</v>
      </c>
      <c r="D34" s="216">
        <v>50000</v>
      </c>
      <c r="E34" s="39"/>
    </row>
    <row r="35" spans="1:9">
      <c r="A35" s="215" t="s">
        <v>28</v>
      </c>
      <c r="B35" s="644">
        <v>663000</v>
      </c>
      <c r="C35" s="216">
        <v>643000</v>
      </c>
      <c r="D35" s="216">
        <v>20000</v>
      </c>
      <c r="E35" s="39"/>
    </row>
    <row r="36" spans="1:9">
      <c r="A36" s="215" t="s">
        <v>29</v>
      </c>
      <c r="B36" s="644">
        <v>2519000</v>
      </c>
      <c r="C36" s="216">
        <v>2479000</v>
      </c>
      <c r="D36" s="216">
        <v>40000</v>
      </c>
      <c r="E36" s="39"/>
    </row>
    <row r="37" spans="1:9">
      <c r="A37" s="215" t="s">
        <v>30</v>
      </c>
      <c r="B37" s="644">
        <v>234000</v>
      </c>
      <c r="C37" s="216">
        <v>234000</v>
      </c>
      <c r="D37" s="216" t="s">
        <v>9</v>
      </c>
      <c r="E37" s="39"/>
    </row>
    <row r="38" spans="1:9">
      <c r="A38" s="215" t="s">
        <v>31</v>
      </c>
      <c r="B38" s="644">
        <v>152000</v>
      </c>
      <c r="C38" s="216">
        <v>152000</v>
      </c>
      <c r="D38" s="216" t="s">
        <v>9</v>
      </c>
      <c r="E38" s="39"/>
    </row>
    <row r="39" spans="1:9">
      <c r="A39" s="215" t="s">
        <v>32</v>
      </c>
      <c r="B39" s="644">
        <v>1016000</v>
      </c>
      <c r="C39" s="216">
        <v>873000</v>
      </c>
      <c r="D39" s="216">
        <v>143000</v>
      </c>
      <c r="E39" s="39"/>
    </row>
    <row r="40" spans="1:9">
      <c r="A40" s="215" t="s">
        <v>33</v>
      </c>
      <c r="B40" s="644">
        <v>4404000</v>
      </c>
      <c r="C40" s="216">
        <v>280000</v>
      </c>
      <c r="D40" s="216">
        <v>4124000</v>
      </c>
      <c r="E40" s="39"/>
    </row>
    <row r="41" spans="1:9">
      <c r="A41" s="40"/>
    </row>
    <row r="42" spans="1:9" ht="14.4" customHeight="1">
      <c r="A42" s="717" t="s">
        <v>273</v>
      </c>
      <c r="B42" s="717"/>
      <c r="C42" s="717"/>
      <c r="D42" s="63"/>
    </row>
    <row r="43" spans="1:9" ht="15.75" customHeight="1" thickBot="1">
      <c r="A43" s="718"/>
      <c r="B43" s="718"/>
      <c r="C43" s="718"/>
      <c r="D43" s="112"/>
      <c r="E43" s="112"/>
      <c r="F43" s="112"/>
      <c r="G43" s="112"/>
    </row>
    <row r="44" spans="1:9" ht="23.4" customHeight="1">
      <c r="A44" s="213"/>
      <c r="B44" s="720" t="s">
        <v>35</v>
      </c>
      <c r="C44" s="720"/>
      <c r="D44" s="720" t="s">
        <v>36</v>
      </c>
      <c r="E44" s="720"/>
      <c r="F44" s="720" t="s">
        <v>34</v>
      </c>
      <c r="G44" s="720"/>
      <c r="H44" s="6"/>
      <c r="I44" s="6"/>
    </row>
    <row r="45" spans="1:9">
      <c r="A45" s="217"/>
      <c r="B45" s="218" t="s">
        <v>37</v>
      </c>
      <c r="C45" s="218" t="s">
        <v>38</v>
      </c>
      <c r="D45" s="218" t="s">
        <v>37</v>
      </c>
      <c r="E45" s="219" t="s">
        <v>38</v>
      </c>
      <c r="F45" s="218" t="s">
        <v>37</v>
      </c>
      <c r="G45" s="218" t="s">
        <v>38</v>
      </c>
      <c r="H45" s="64"/>
      <c r="I45" s="64"/>
    </row>
    <row r="46" spans="1:9">
      <c r="A46" s="220" t="s">
        <v>39</v>
      </c>
      <c r="B46" s="221">
        <v>165</v>
      </c>
      <c r="C46" s="222">
        <f>165/211</f>
        <v>0.78199052132701419</v>
      </c>
      <c r="D46" s="221">
        <v>1801</v>
      </c>
      <c r="E46" s="223">
        <f>1801/3260</f>
        <v>0.55245398773006138</v>
      </c>
      <c r="F46" s="221">
        <f>B46+D46</f>
        <v>1966</v>
      </c>
      <c r="G46" s="222">
        <f>F46/(3260+211)</f>
        <v>0.56640737539613939</v>
      </c>
      <c r="H46" s="64"/>
      <c r="I46" s="64"/>
    </row>
    <row r="47" spans="1:9">
      <c r="A47" s="220" t="s">
        <v>40</v>
      </c>
      <c r="B47" s="221">
        <f>86</f>
        <v>86</v>
      </c>
      <c r="C47" s="222">
        <f>B47/104</f>
        <v>0.82692307692307687</v>
      </c>
      <c r="D47" s="221">
        <v>1029</v>
      </c>
      <c r="E47" s="223">
        <f>D47/1684</f>
        <v>0.61104513064133015</v>
      </c>
      <c r="F47" s="221">
        <f t="shared" ref="F47:F53" si="0">B47+D47</f>
        <v>1115</v>
      </c>
      <c r="G47" s="222">
        <f>F47/(104+1684)</f>
        <v>0.62360178970917224</v>
      </c>
      <c r="H47" s="64"/>
      <c r="I47" s="64"/>
    </row>
    <row r="48" spans="1:9">
      <c r="A48" s="220" t="s">
        <v>41</v>
      </c>
      <c r="B48" s="221">
        <v>14</v>
      </c>
      <c r="C48" s="222">
        <f>B48/24</f>
        <v>0.58333333333333337</v>
      </c>
      <c r="D48" s="221">
        <v>105</v>
      </c>
      <c r="E48" s="223">
        <f>D48/171</f>
        <v>0.61403508771929827</v>
      </c>
      <c r="F48" s="221">
        <f>B48+D48</f>
        <v>119</v>
      </c>
      <c r="G48" s="222">
        <f>F48/(24+171)</f>
        <v>0.61025641025641031</v>
      </c>
      <c r="H48" s="64"/>
      <c r="I48" s="64"/>
    </row>
    <row r="49" spans="1:10">
      <c r="A49" s="220" t="s">
        <v>42</v>
      </c>
      <c r="B49" s="221">
        <v>0</v>
      </c>
      <c r="C49" s="222" t="s">
        <v>9</v>
      </c>
      <c r="D49" s="221">
        <v>14</v>
      </c>
      <c r="E49" s="223">
        <f>D49/28</f>
        <v>0.5</v>
      </c>
      <c r="F49" s="221">
        <f t="shared" si="0"/>
        <v>14</v>
      </c>
      <c r="G49" s="222">
        <f>E49</f>
        <v>0.5</v>
      </c>
      <c r="H49" s="64"/>
      <c r="I49" s="64"/>
    </row>
    <row r="50" spans="1:10">
      <c r="A50" s="220" t="s">
        <v>43</v>
      </c>
      <c r="B50" s="221">
        <v>14</v>
      </c>
      <c r="C50" s="222">
        <f>B50/17</f>
        <v>0.82352941176470584</v>
      </c>
      <c r="D50" s="221">
        <v>90</v>
      </c>
      <c r="E50" s="223">
        <f>D50/105</f>
        <v>0.8571428571428571</v>
      </c>
      <c r="F50" s="221">
        <f t="shared" si="0"/>
        <v>104</v>
      </c>
      <c r="G50" s="222">
        <f>F50/(17+105)</f>
        <v>0.85245901639344257</v>
      </c>
      <c r="H50" s="64"/>
      <c r="I50" s="64"/>
    </row>
    <row r="51" spans="1:10">
      <c r="A51" s="220" t="s">
        <v>44</v>
      </c>
      <c r="B51" s="221">
        <v>6</v>
      </c>
      <c r="C51" s="222">
        <f>B51/9</f>
        <v>0.66666666666666663</v>
      </c>
      <c r="D51" s="224">
        <v>27</v>
      </c>
      <c r="E51" s="225">
        <f>D51/38</f>
        <v>0.71052631578947367</v>
      </c>
      <c r="F51" s="221">
        <f>B51+D51</f>
        <v>33</v>
      </c>
      <c r="G51" s="222">
        <f>F51/(9+38)</f>
        <v>0.7021276595744681</v>
      </c>
      <c r="H51" s="64"/>
      <c r="I51" s="64"/>
    </row>
    <row r="52" spans="1:10">
      <c r="A52" s="220" t="s">
        <v>45</v>
      </c>
      <c r="B52" s="221">
        <v>2</v>
      </c>
      <c r="C52" s="222">
        <f>2/3</f>
        <v>0.66666666666666663</v>
      </c>
      <c r="D52" s="221">
        <v>11</v>
      </c>
      <c r="E52" s="223">
        <f>11/16</f>
        <v>0.6875</v>
      </c>
      <c r="F52" s="221">
        <f t="shared" si="0"/>
        <v>13</v>
      </c>
      <c r="G52" s="222">
        <f>F52/(13+1+5)</f>
        <v>0.68421052631578949</v>
      </c>
      <c r="H52" s="64"/>
      <c r="I52" s="64"/>
    </row>
    <row r="53" spans="1:10">
      <c r="A53" s="226" t="s">
        <v>34</v>
      </c>
      <c r="B53" s="227">
        <f>SUM(B46:B52)</f>
        <v>287</v>
      </c>
      <c r="C53" s="228">
        <f>B53/368</f>
        <v>0.77989130434782605</v>
      </c>
      <c r="D53" s="227">
        <f>SUM(D46:D52)</f>
        <v>3077</v>
      </c>
      <c r="E53" s="229">
        <f>D53/5309</f>
        <v>0.57958184215483144</v>
      </c>
      <c r="F53" s="227">
        <f t="shared" si="0"/>
        <v>3364</v>
      </c>
      <c r="G53" s="228">
        <f>F53/(368+5309)</f>
        <v>0.59256649638893777</v>
      </c>
      <c r="H53" s="64"/>
    </row>
    <row r="54" spans="1:10">
      <c r="B54" s="66"/>
      <c r="C54" s="67"/>
      <c r="D54" s="67"/>
      <c r="E54" s="68"/>
      <c r="F54" s="69"/>
      <c r="G54" s="68"/>
      <c r="H54" s="68"/>
      <c r="I54" s="67"/>
      <c r="J54" s="62"/>
    </row>
    <row r="55" spans="1:10" ht="14.4" customHeight="1">
      <c r="A55" s="717" t="s">
        <v>274</v>
      </c>
      <c r="B55" s="717"/>
      <c r="C55" s="717"/>
    </row>
    <row r="56" spans="1:10" ht="15.75" customHeight="1" thickBot="1">
      <c r="A56" s="718"/>
      <c r="B56" s="718"/>
      <c r="C56" s="718"/>
    </row>
    <row r="57" spans="1:10" ht="21.6" customHeight="1">
      <c r="A57" s="213"/>
      <c r="B57" s="720" t="s">
        <v>46</v>
      </c>
      <c r="C57" s="720"/>
      <c r="D57" s="6"/>
      <c r="E57" s="6"/>
      <c r="F57" s="6"/>
      <c r="G57" s="6"/>
      <c r="H57" s="6"/>
      <c r="I57" s="6"/>
    </row>
    <row r="58" spans="1:10">
      <c r="A58" s="217"/>
      <c r="B58" s="218" t="s">
        <v>47</v>
      </c>
      <c r="C58" s="218" t="s">
        <v>38</v>
      </c>
      <c r="D58" s="64"/>
      <c r="E58" s="64"/>
      <c r="F58" s="64"/>
      <c r="G58" s="64"/>
      <c r="H58" s="64"/>
      <c r="I58" s="64"/>
    </row>
    <row r="59" spans="1:10">
      <c r="A59" s="231" t="s">
        <v>26</v>
      </c>
      <c r="B59" s="553" t="s">
        <v>259</v>
      </c>
      <c r="C59" s="232">
        <v>0.57999999999999996</v>
      </c>
      <c r="D59" s="70"/>
      <c r="E59" s="70"/>
      <c r="F59" s="70"/>
      <c r="G59" s="70"/>
      <c r="H59" s="70"/>
      <c r="I59" s="70"/>
    </row>
    <row r="60" spans="1:10">
      <c r="A60" s="231" t="s">
        <v>25</v>
      </c>
      <c r="B60" s="553" t="s">
        <v>260</v>
      </c>
      <c r="C60" s="232">
        <v>0.15</v>
      </c>
      <c r="D60" s="70"/>
      <c r="E60" s="70"/>
      <c r="F60" s="70"/>
      <c r="G60" s="70"/>
      <c r="H60" s="70"/>
      <c r="I60" s="70"/>
    </row>
    <row r="61" spans="1:10" s="60" customFormat="1">
      <c r="A61" s="226" t="s">
        <v>34</v>
      </c>
      <c r="B61" s="588" t="s">
        <v>261</v>
      </c>
      <c r="C61" s="233">
        <v>0.26</v>
      </c>
      <c r="D61" s="71"/>
      <c r="E61" s="71"/>
      <c r="F61" s="71"/>
      <c r="G61" s="71"/>
      <c r="H61" s="71"/>
      <c r="I61" s="71"/>
    </row>
    <row r="63" spans="1:10">
      <c r="A63" s="230" t="s">
        <v>258</v>
      </c>
    </row>
    <row r="64" spans="1:10" ht="23.4" customHeight="1">
      <c r="A64" s="716" t="s">
        <v>270</v>
      </c>
      <c r="B64" s="716"/>
      <c r="C64" s="716"/>
      <c r="D64" s="716"/>
      <c r="E64" s="716"/>
      <c r="F64" s="716"/>
      <c r="G64" s="716"/>
      <c r="H64" s="716"/>
      <c r="I64" s="716"/>
    </row>
  </sheetData>
  <mergeCells count="9">
    <mergeCell ref="A64:I64"/>
    <mergeCell ref="A55:C56"/>
    <mergeCell ref="A21:H29"/>
    <mergeCell ref="A31:A32"/>
    <mergeCell ref="B57:C57"/>
    <mergeCell ref="B44:C44"/>
    <mergeCell ref="D44:E44"/>
    <mergeCell ref="F44:G44"/>
    <mergeCell ref="A42:C4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topLeftCell="A18" zoomScaleNormal="100" workbookViewId="0">
      <selection activeCell="G4" sqref="G4"/>
    </sheetView>
  </sheetViews>
  <sheetFormatPr baseColWidth="10" defaultColWidth="9.109375" defaultRowHeight="14.4"/>
  <cols>
    <col min="1" max="16384" width="9.109375" style="61"/>
  </cols>
  <sheetData>
    <row r="1" spans="1:17" ht="15" customHeight="1">
      <c r="B1" s="60"/>
    </row>
    <row r="2" spans="1:17" ht="15" customHeight="1">
      <c r="B2" s="60"/>
    </row>
    <row r="3" spans="1:17" ht="15" customHeight="1">
      <c r="B3" s="60"/>
    </row>
    <row r="4" spans="1:17" ht="15" customHeight="1">
      <c r="B4" s="60"/>
    </row>
    <row r="5" spans="1:17">
      <c r="A5" s="91"/>
      <c r="B5" s="92"/>
      <c r="C5" s="91"/>
      <c r="D5" s="91"/>
      <c r="E5" s="91"/>
      <c r="F5" s="91"/>
      <c r="G5" s="91"/>
      <c r="H5" s="91"/>
      <c r="I5" s="91"/>
      <c r="J5" s="91"/>
      <c r="K5" s="91"/>
      <c r="L5" s="91"/>
      <c r="M5" s="91"/>
      <c r="N5" s="91"/>
      <c r="O5" s="91"/>
      <c r="P5" s="91"/>
      <c r="Q5" s="91"/>
    </row>
    <row r="6" spans="1:17">
      <c r="A6" s="114"/>
      <c r="B6" s="115"/>
      <c r="C6" s="114"/>
      <c r="D6" s="114"/>
      <c r="E6" s="114"/>
      <c r="F6" s="114"/>
      <c r="G6" s="114"/>
      <c r="H6" s="114"/>
      <c r="I6" s="114"/>
    </row>
    <row r="7" spans="1:17">
      <c r="B7" s="115"/>
      <c r="C7" s="114"/>
      <c r="D7" s="114"/>
      <c r="E7" s="114"/>
      <c r="F7" s="114"/>
      <c r="G7" s="114"/>
      <c r="H7" s="114"/>
      <c r="I7" s="114"/>
    </row>
    <row r="8" spans="1:17">
      <c r="A8" s="114"/>
      <c r="B8" s="115"/>
      <c r="C8" s="114"/>
      <c r="D8" s="114"/>
      <c r="E8" s="114"/>
      <c r="F8" s="114"/>
      <c r="G8" s="114"/>
      <c r="H8" s="114"/>
      <c r="I8" s="114"/>
    </row>
    <row r="9" spans="1:17">
      <c r="A9" s="114"/>
      <c r="B9" s="115"/>
      <c r="C9" s="114"/>
      <c r="D9" s="114"/>
      <c r="E9" s="114"/>
      <c r="F9" s="114"/>
      <c r="G9" s="114"/>
      <c r="H9" s="114"/>
      <c r="I9" s="114"/>
    </row>
    <row r="10" spans="1:17">
      <c r="A10" s="114"/>
      <c r="B10" s="115"/>
      <c r="C10" s="114"/>
      <c r="D10" s="114"/>
      <c r="E10" s="114"/>
      <c r="F10" s="114"/>
      <c r="G10" s="114"/>
      <c r="H10" s="114"/>
      <c r="I10" s="114"/>
    </row>
    <row r="11" spans="1:17">
      <c r="A11" s="114"/>
      <c r="B11" s="115"/>
      <c r="C11" s="114"/>
      <c r="D11" s="114"/>
      <c r="E11" s="114"/>
      <c r="F11" s="114"/>
      <c r="G11" s="114"/>
      <c r="H11" s="114"/>
      <c r="I11" s="114"/>
    </row>
    <row r="12" spans="1:17">
      <c r="A12" s="114"/>
      <c r="B12" s="115"/>
      <c r="C12" s="114"/>
      <c r="D12" s="114"/>
      <c r="E12" s="114"/>
      <c r="F12" s="114"/>
      <c r="G12" s="114"/>
      <c r="H12" s="114"/>
      <c r="I12" s="114"/>
    </row>
    <row r="13" spans="1:17">
      <c r="A13" s="114"/>
      <c r="B13" s="115"/>
      <c r="C13" s="114"/>
      <c r="D13" s="114"/>
      <c r="E13" s="114"/>
      <c r="F13" s="114"/>
      <c r="G13" s="114"/>
      <c r="H13" s="114"/>
      <c r="I13" s="114"/>
    </row>
    <row r="14" spans="1:17">
      <c r="A14" s="114"/>
      <c r="B14" s="115"/>
      <c r="C14" s="114"/>
      <c r="D14" s="114"/>
      <c r="E14" s="114"/>
      <c r="F14" s="114"/>
      <c r="G14" s="114"/>
      <c r="H14" s="114"/>
      <c r="I14" s="114"/>
    </row>
    <row r="15" spans="1:17">
      <c r="A15" s="114"/>
      <c r="B15" s="115"/>
      <c r="C15" s="114"/>
      <c r="D15" s="114"/>
      <c r="E15" s="114"/>
      <c r="F15" s="114"/>
      <c r="G15" s="114"/>
      <c r="H15" s="114"/>
      <c r="I15" s="114"/>
    </row>
    <row r="16" spans="1:17">
      <c r="A16" s="114"/>
      <c r="B16" s="115"/>
      <c r="C16" s="114"/>
      <c r="D16" s="114"/>
      <c r="E16" s="114"/>
      <c r="F16" s="114"/>
      <c r="G16" s="114"/>
      <c r="H16" s="114"/>
      <c r="I16" s="114"/>
    </row>
    <row r="17" spans="1:17">
      <c r="A17" s="114"/>
      <c r="B17" s="115"/>
      <c r="C17" s="114"/>
      <c r="D17" s="114"/>
      <c r="E17" s="114"/>
      <c r="F17" s="114"/>
      <c r="G17" s="114"/>
      <c r="H17" s="114"/>
      <c r="I17" s="114"/>
    </row>
    <row r="18" spans="1:17">
      <c r="A18" s="114"/>
      <c r="B18" s="115"/>
      <c r="C18" s="114"/>
      <c r="D18" s="114"/>
      <c r="E18" s="114"/>
      <c r="F18" s="114"/>
      <c r="G18" s="114"/>
      <c r="H18" s="114"/>
      <c r="I18" s="114"/>
    </row>
    <row r="19" spans="1:17">
      <c r="A19" s="114"/>
      <c r="B19" s="115"/>
      <c r="C19" s="114"/>
      <c r="D19" s="114"/>
      <c r="E19" s="114"/>
      <c r="F19" s="114"/>
      <c r="G19" s="114"/>
      <c r="H19" s="114"/>
      <c r="I19" s="114"/>
    </row>
    <row r="20" spans="1:17" ht="15" customHeight="1">
      <c r="A20" s="719" t="s">
        <v>218</v>
      </c>
      <c r="B20" s="719"/>
      <c r="C20" s="719"/>
      <c r="D20" s="719"/>
      <c r="E20" s="719"/>
      <c r="F20" s="719"/>
      <c r="G20" s="719"/>
      <c r="H20" s="719"/>
      <c r="I20" s="719"/>
      <c r="J20" s="719"/>
      <c r="K20" s="719"/>
      <c r="L20" s="719"/>
      <c r="M20" s="719"/>
      <c r="N20" s="719"/>
      <c r="O20" s="719"/>
      <c r="P20" s="719"/>
      <c r="Q20" s="719"/>
    </row>
    <row r="21" spans="1:17" ht="15" customHeight="1">
      <c r="A21" s="719"/>
      <c r="B21" s="719"/>
      <c r="C21" s="719"/>
      <c r="D21" s="719"/>
      <c r="E21" s="719"/>
      <c r="F21" s="719"/>
      <c r="G21" s="719"/>
      <c r="H21" s="719"/>
      <c r="I21" s="719"/>
      <c r="J21" s="719"/>
      <c r="K21" s="719"/>
      <c r="L21" s="719"/>
      <c r="M21" s="719"/>
      <c r="N21" s="719"/>
      <c r="O21" s="719"/>
      <c r="P21" s="719"/>
      <c r="Q21" s="719"/>
    </row>
    <row r="22" spans="1:17" ht="15" customHeight="1">
      <c r="A22" s="719"/>
      <c r="B22" s="719"/>
      <c r="C22" s="719"/>
      <c r="D22" s="719"/>
      <c r="E22" s="719"/>
      <c r="F22" s="719"/>
      <c r="G22" s="719"/>
      <c r="H22" s="719"/>
      <c r="I22" s="719"/>
      <c r="J22" s="719"/>
      <c r="K22" s="719"/>
      <c r="L22" s="719"/>
      <c r="M22" s="719"/>
      <c r="N22" s="719"/>
      <c r="O22" s="719"/>
      <c r="P22" s="719"/>
      <c r="Q22" s="719"/>
    </row>
    <row r="23" spans="1:17" ht="15" customHeight="1">
      <c r="A23" s="719"/>
      <c r="B23" s="719"/>
      <c r="C23" s="719"/>
      <c r="D23" s="719"/>
      <c r="E23" s="719"/>
      <c r="F23" s="719"/>
      <c r="G23" s="719"/>
      <c r="H23" s="719"/>
      <c r="I23" s="719"/>
      <c r="J23" s="719"/>
      <c r="K23" s="719"/>
      <c r="L23" s="719"/>
      <c r="M23" s="719"/>
      <c r="N23" s="719"/>
      <c r="O23" s="719"/>
      <c r="P23" s="719"/>
      <c r="Q23" s="719"/>
    </row>
    <row r="24" spans="1:17" ht="15" customHeight="1">
      <c r="A24" s="719"/>
      <c r="B24" s="719"/>
      <c r="C24" s="719"/>
      <c r="D24" s="719"/>
      <c r="E24" s="719"/>
      <c r="F24" s="719"/>
      <c r="G24" s="719"/>
      <c r="H24" s="719"/>
      <c r="I24" s="719"/>
      <c r="J24" s="719"/>
      <c r="K24" s="719"/>
      <c r="L24" s="719"/>
      <c r="M24" s="719"/>
      <c r="N24" s="719"/>
      <c r="O24" s="719"/>
      <c r="P24" s="719"/>
      <c r="Q24" s="719"/>
    </row>
    <row r="25" spans="1:17" ht="15" customHeight="1">
      <c r="A25" s="719"/>
      <c r="B25" s="719"/>
      <c r="C25" s="719"/>
      <c r="D25" s="719"/>
      <c r="E25" s="719"/>
      <c r="F25" s="719"/>
      <c r="G25" s="719"/>
      <c r="H25" s="719"/>
      <c r="I25" s="719"/>
      <c r="J25" s="719"/>
      <c r="K25" s="719"/>
      <c r="L25" s="719"/>
      <c r="M25" s="719"/>
      <c r="N25" s="719"/>
      <c r="O25" s="719"/>
      <c r="P25" s="719"/>
      <c r="Q25" s="719"/>
    </row>
    <row r="26" spans="1:17">
      <c r="A26" s="719"/>
      <c r="B26" s="719"/>
      <c r="C26" s="719"/>
      <c r="D26" s="719"/>
      <c r="E26" s="719"/>
      <c r="F26" s="719"/>
      <c r="G26" s="719"/>
      <c r="H26" s="719"/>
      <c r="I26" s="719"/>
      <c r="J26" s="719"/>
      <c r="K26" s="719"/>
      <c r="L26" s="719"/>
      <c r="M26" s="719"/>
      <c r="N26" s="719"/>
      <c r="O26" s="719"/>
      <c r="P26" s="719"/>
      <c r="Q26" s="719"/>
    </row>
    <row r="27" spans="1:17" ht="63.75" customHeight="1">
      <c r="A27" s="719"/>
      <c r="B27" s="719"/>
      <c r="C27" s="719"/>
      <c r="D27" s="719"/>
      <c r="E27" s="719"/>
      <c r="F27" s="719"/>
      <c r="G27" s="719"/>
      <c r="H27" s="719"/>
      <c r="I27" s="719"/>
      <c r="J27" s="719"/>
      <c r="K27" s="719"/>
      <c r="L27" s="719"/>
      <c r="M27" s="719"/>
      <c r="N27" s="719"/>
      <c r="O27" s="719"/>
      <c r="P27" s="719"/>
      <c r="Q27" s="719"/>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103" zoomScaleNormal="100" workbookViewId="0">
      <selection activeCell="A17" sqref="A17"/>
    </sheetView>
  </sheetViews>
  <sheetFormatPr baseColWidth="10" defaultColWidth="8.5546875" defaultRowHeight="10.8"/>
  <cols>
    <col min="1" max="1" width="92.44140625" style="1" customWidth="1"/>
    <col min="2"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13" ht="21" customHeight="1">
      <c r="A1" s="18"/>
      <c r="G1" s="191"/>
    </row>
    <row r="2" spans="1:13" ht="21" customHeight="1">
      <c r="A2" s="119"/>
      <c r="B2" s="122"/>
      <c r="C2" s="234"/>
      <c r="D2" s="122"/>
      <c r="E2" s="121"/>
      <c r="F2" s="34"/>
      <c r="G2" s="119"/>
    </row>
    <row r="3" spans="1:13" ht="21" customHeight="1">
      <c r="A3" s="79"/>
      <c r="B3" s="72"/>
      <c r="C3" s="235"/>
      <c r="D3" s="236"/>
      <c r="E3" s="237"/>
      <c r="F3" s="238"/>
      <c r="G3" s="239"/>
    </row>
    <row r="4" spans="1:13" s="61" customFormat="1" ht="15" customHeight="1">
      <c r="A4" s="91"/>
      <c r="B4" s="92"/>
      <c r="C4" s="91"/>
      <c r="D4" s="91"/>
      <c r="E4" s="91"/>
      <c r="F4" s="91"/>
    </row>
    <row r="5" spans="1:13" s="61" customFormat="1" ht="26.4" thickBot="1">
      <c r="A5" s="131" t="s">
        <v>48</v>
      </c>
      <c r="B5" s="60"/>
    </row>
    <row r="6" spans="1:13" ht="15" customHeight="1" thickBot="1">
      <c r="A6" s="717" t="s">
        <v>49</v>
      </c>
      <c r="B6" s="73"/>
      <c r="C6" s="74"/>
      <c r="D6" s="73"/>
      <c r="E6" s="75"/>
      <c r="F6" s="43"/>
    </row>
    <row r="7" spans="1:13" ht="15" customHeight="1" thickBot="1">
      <c r="A7" s="717"/>
      <c r="B7" s="1"/>
      <c r="C7" s="1"/>
      <c r="D7" s="1"/>
      <c r="E7" s="1"/>
      <c r="G7" s="5"/>
      <c r="H7" s="6"/>
      <c r="I7" s="7"/>
      <c r="J7" s="8"/>
      <c r="K7" s="8"/>
      <c r="L7" s="8"/>
      <c r="M7" s="9"/>
    </row>
    <row r="8" spans="1:13" ht="15" customHeight="1">
      <c r="A8" s="240" t="s">
        <v>50</v>
      </c>
      <c r="B8" s="241">
        <v>2024</v>
      </c>
      <c r="C8" s="242">
        <v>2023</v>
      </c>
      <c r="D8" s="242">
        <v>2022</v>
      </c>
      <c r="E8" s="242">
        <v>2021</v>
      </c>
      <c r="F8" s="243">
        <v>2020</v>
      </c>
      <c r="G8" s="96"/>
      <c r="H8" s="11"/>
      <c r="I8" s="12"/>
      <c r="J8" s="12"/>
      <c r="K8" s="12"/>
      <c r="L8" s="12"/>
      <c r="M8" s="12"/>
    </row>
    <row r="9" spans="1:13" ht="15" customHeight="1">
      <c r="A9" s="244" t="s">
        <v>51</v>
      </c>
      <c r="B9" s="594">
        <v>58108</v>
      </c>
      <c r="C9" s="245">
        <v>42400</v>
      </c>
      <c r="D9" s="245">
        <v>45374</v>
      </c>
      <c r="E9" s="246">
        <v>46339</v>
      </c>
      <c r="F9" s="247">
        <v>40647</v>
      </c>
      <c r="H9" s="11"/>
      <c r="I9" s="12"/>
      <c r="J9" s="12"/>
      <c r="K9" s="12"/>
      <c r="L9" s="12"/>
      <c r="M9" s="12"/>
    </row>
    <row r="10" spans="1:13" ht="15" customHeight="1">
      <c r="A10" s="248" t="s">
        <v>52</v>
      </c>
      <c r="B10" s="595">
        <v>70826</v>
      </c>
      <c r="C10" s="249">
        <v>64602</v>
      </c>
      <c r="D10" s="249">
        <v>68116</v>
      </c>
      <c r="E10" s="250">
        <v>58133</v>
      </c>
      <c r="F10" s="251">
        <v>41254</v>
      </c>
      <c r="G10" s="20"/>
      <c r="H10" s="11"/>
      <c r="I10" s="12"/>
      <c r="J10" s="12"/>
      <c r="K10" s="12"/>
      <c r="L10" s="12"/>
      <c r="M10" s="12"/>
    </row>
    <row r="11" spans="1:13" ht="15" customHeight="1">
      <c r="A11" s="248" t="s">
        <v>53</v>
      </c>
      <c r="B11" s="595">
        <v>29802</v>
      </c>
      <c r="C11" s="249">
        <v>13457</v>
      </c>
      <c r="D11" s="249">
        <v>13389</v>
      </c>
      <c r="E11" s="250">
        <v>12820</v>
      </c>
      <c r="F11" s="251">
        <v>6591</v>
      </c>
      <c r="G11" s="97"/>
      <c r="H11" s="11"/>
      <c r="I11" s="12"/>
      <c r="J11" s="12"/>
      <c r="K11" s="12"/>
      <c r="L11" s="12"/>
      <c r="M11" s="12"/>
    </row>
    <row r="12" spans="1:13" ht="15" customHeight="1">
      <c r="A12" s="252" t="s">
        <v>54</v>
      </c>
      <c r="B12" s="595">
        <v>128934</v>
      </c>
      <c r="C12" s="249">
        <v>107002</v>
      </c>
      <c r="D12" s="249">
        <v>113490</v>
      </c>
      <c r="E12" s="250">
        <v>104472</v>
      </c>
      <c r="F12" s="251">
        <v>81901</v>
      </c>
      <c r="G12" s="667"/>
      <c r="H12" s="11"/>
      <c r="I12" s="12"/>
      <c r="J12" s="12"/>
      <c r="K12" s="12"/>
      <c r="L12" s="12"/>
      <c r="M12" s="12"/>
    </row>
    <row r="13" spans="1:13" ht="15" customHeight="1">
      <c r="A13" s="252" t="s">
        <v>55</v>
      </c>
      <c r="B13" s="595">
        <v>29461</v>
      </c>
      <c r="C13" s="249">
        <v>26016</v>
      </c>
      <c r="D13" s="249">
        <v>29734</v>
      </c>
      <c r="E13" s="250">
        <v>24821</v>
      </c>
      <c r="F13" s="251" t="s">
        <v>230</v>
      </c>
      <c r="G13" s="667"/>
      <c r="H13" s="11"/>
      <c r="I13" s="12"/>
      <c r="J13" s="12"/>
      <c r="K13" s="12"/>
      <c r="L13" s="12"/>
      <c r="M13" s="12"/>
    </row>
    <row r="14" spans="1:13" ht="15" customHeight="1">
      <c r="A14" s="248" t="s">
        <v>236</v>
      </c>
      <c r="B14" s="596">
        <v>0.32</v>
      </c>
      <c r="C14" s="260">
        <v>0.28999999999999998</v>
      </c>
      <c r="D14" s="260">
        <v>0.26</v>
      </c>
      <c r="E14" s="259">
        <v>0.22</v>
      </c>
      <c r="F14" s="253">
        <v>0.24</v>
      </c>
      <c r="G14" s="33"/>
      <c r="H14" s="11"/>
      <c r="I14" s="12"/>
      <c r="J14" s="12"/>
      <c r="K14" s="12"/>
      <c r="L14" s="12"/>
      <c r="M14" s="12"/>
    </row>
    <row r="15" spans="1:13" ht="12.6" customHeight="1">
      <c r="A15" s="248" t="s">
        <v>228</v>
      </c>
      <c r="B15" s="596">
        <v>3.81</v>
      </c>
      <c r="C15" s="249" t="s">
        <v>56</v>
      </c>
      <c r="D15" s="249" t="s">
        <v>57</v>
      </c>
      <c r="E15" s="249" t="s">
        <v>58</v>
      </c>
      <c r="F15" s="253">
        <v>2.76</v>
      </c>
      <c r="G15" s="13"/>
      <c r="H15" s="11"/>
      <c r="I15" s="14"/>
      <c r="J15" s="14"/>
      <c r="K15" s="14"/>
      <c r="L15" s="14"/>
      <c r="M15" s="14"/>
    </row>
    <row r="16" spans="1:13" ht="15" customHeight="1" thickBot="1">
      <c r="A16" s="641"/>
      <c r="B16" s="642"/>
      <c r="C16" s="642"/>
      <c r="D16" s="642"/>
      <c r="E16" s="642"/>
      <c r="F16" s="349"/>
      <c r="G16" s="13"/>
      <c r="H16" s="6"/>
      <c r="I16" s="7"/>
      <c r="J16" s="8"/>
      <c r="K16" s="8"/>
      <c r="L16" s="8"/>
      <c r="M16" s="9"/>
    </row>
    <row r="17" spans="1:13" ht="15" customHeight="1">
      <c r="A17" s="254" t="s">
        <v>280</v>
      </c>
      <c r="B17" s="255">
        <v>2024</v>
      </c>
      <c r="C17" s="193">
        <v>2023</v>
      </c>
      <c r="D17" s="193">
        <v>2022</v>
      </c>
      <c r="E17" s="269">
        <v>2021</v>
      </c>
      <c r="F17" s="8"/>
      <c r="G17" s="33"/>
      <c r="H17" s="11"/>
      <c r="I17" s="12"/>
      <c r="J17" s="12"/>
      <c r="K17" s="12"/>
      <c r="L17" s="12"/>
      <c r="M17" s="12"/>
    </row>
    <row r="18" spans="1:13" ht="15" customHeight="1">
      <c r="A18" s="257" t="s">
        <v>281</v>
      </c>
      <c r="B18" s="265">
        <v>10</v>
      </c>
      <c r="C18" s="245">
        <v>10</v>
      </c>
      <c r="D18" s="245">
        <v>8</v>
      </c>
      <c r="E18" s="378">
        <v>23</v>
      </c>
      <c r="F18" s="12"/>
      <c r="G18" s="667"/>
      <c r="H18" s="11"/>
      <c r="I18" s="12"/>
      <c r="J18" s="12"/>
      <c r="K18" s="12"/>
      <c r="L18" s="12"/>
      <c r="M18" s="12"/>
    </row>
    <row r="19" spans="1:13" ht="15" customHeight="1">
      <c r="A19" s="257" t="s">
        <v>282</v>
      </c>
      <c r="B19" s="265">
        <v>17434.46</v>
      </c>
      <c r="C19" s="250">
        <v>10737</v>
      </c>
      <c r="D19" s="249">
        <v>14347</v>
      </c>
      <c r="E19" s="305">
        <v>15947</v>
      </c>
      <c r="F19" s="14"/>
      <c r="G19" s="667"/>
      <c r="H19" s="11"/>
      <c r="I19" s="12"/>
      <c r="J19" s="12"/>
      <c r="K19" s="12"/>
      <c r="L19" s="12"/>
      <c r="M19" s="12"/>
    </row>
    <row r="20" spans="1:13" ht="15" customHeight="1">
      <c r="A20" s="258" t="s">
        <v>283</v>
      </c>
      <c r="B20" s="265">
        <v>369</v>
      </c>
      <c r="C20" s="250">
        <v>303</v>
      </c>
      <c r="D20" s="249">
        <v>345</v>
      </c>
      <c r="E20" s="305">
        <v>438</v>
      </c>
      <c r="F20" s="14"/>
      <c r="G20" s="667"/>
      <c r="H20" s="11"/>
      <c r="I20" s="12"/>
      <c r="J20" s="12"/>
      <c r="K20" s="12"/>
      <c r="L20" s="12"/>
      <c r="M20" s="12"/>
    </row>
    <row r="21" spans="1:13" ht="15" customHeight="1">
      <c r="A21" s="263" t="s">
        <v>284</v>
      </c>
      <c r="B21" s="591">
        <v>7909.73</v>
      </c>
      <c r="C21" s="590">
        <v>10022</v>
      </c>
      <c r="D21" s="590">
        <v>9050</v>
      </c>
      <c r="E21" s="592">
        <v>1834</v>
      </c>
      <c r="F21" s="662"/>
      <c r="G21" s="33"/>
      <c r="H21" s="11"/>
      <c r="I21" s="12"/>
      <c r="J21" s="12"/>
      <c r="K21" s="12"/>
      <c r="L21" s="12"/>
      <c r="M21" s="12"/>
    </row>
    <row r="22" spans="1:13" ht="15" customHeight="1">
      <c r="A22" s="248" t="s">
        <v>285</v>
      </c>
      <c r="B22" s="265">
        <v>2806</v>
      </c>
      <c r="C22" s="250">
        <v>3912</v>
      </c>
      <c r="D22" s="249">
        <v>4704</v>
      </c>
      <c r="E22" s="305">
        <v>5063</v>
      </c>
      <c r="F22" s="14"/>
      <c r="G22" s="33"/>
      <c r="H22" s="11"/>
      <c r="I22" s="12"/>
      <c r="J22" s="12"/>
      <c r="K22" s="12"/>
      <c r="L22" s="12"/>
      <c r="M22" s="12"/>
    </row>
    <row r="23" spans="1:13" ht="15" customHeight="1">
      <c r="A23" s="665" t="s">
        <v>286</v>
      </c>
      <c r="B23" s="594">
        <v>1261</v>
      </c>
      <c r="C23" s="250">
        <v>1033</v>
      </c>
      <c r="D23" s="249">
        <v>1280</v>
      </c>
      <c r="E23" s="305">
        <v>1516</v>
      </c>
      <c r="F23" s="14"/>
      <c r="G23" s="33"/>
      <c r="H23" s="11"/>
      <c r="I23" s="12"/>
      <c r="J23" s="12"/>
      <c r="K23" s="12"/>
      <c r="L23" s="12"/>
      <c r="M23" s="12"/>
    </row>
    <row r="24" spans="1:13" ht="17.399999999999999" customHeight="1" thickBot="1">
      <c r="A24" s="641"/>
      <c r="B24" s="642"/>
      <c r="C24" s="642"/>
      <c r="D24" s="642"/>
      <c r="E24" s="642"/>
      <c r="F24" s="666"/>
      <c r="G24" s="33"/>
      <c r="H24" s="11"/>
      <c r="I24" s="12"/>
      <c r="J24" s="12"/>
      <c r="K24" s="12"/>
      <c r="L24" s="12"/>
      <c r="M24" s="12"/>
    </row>
    <row r="25" spans="1:13" ht="17.399999999999999" customHeight="1">
      <c r="A25" s="254" t="s">
        <v>287</v>
      </c>
      <c r="B25" s="255">
        <v>2024</v>
      </c>
      <c r="C25" s="193">
        <v>2023</v>
      </c>
      <c r="D25" s="193">
        <v>2022</v>
      </c>
      <c r="E25" s="143">
        <v>2021</v>
      </c>
      <c r="F25" s="256">
        <v>2020</v>
      </c>
      <c r="G25" s="33"/>
      <c r="H25" s="11"/>
      <c r="I25" s="12"/>
      <c r="J25" s="12"/>
      <c r="K25" s="12"/>
      <c r="L25" s="12"/>
      <c r="M25" s="12"/>
    </row>
    <row r="26" spans="1:13" ht="17.399999999999999" customHeight="1">
      <c r="A26" s="674" t="s">
        <v>301</v>
      </c>
      <c r="B26" s="675">
        <f>SUM(B27:B30)</f>
        <v>197881</v>
      </c>
      <c r="C26" s="676">
        <f>SUM(C27:C30)</f>
        <v>143519</v>
      </c>
      <c r="D26" s="676">
        <f>SUM(D27:D30)</f>
        <v>159336</v>
      </c>
      <c r="E26" s="677">
        <f>SUM(E27:E30)</f>
        <v>165115</v>
      </c>
      <c r="F26" s="678">
        <f>132414133/1000</f>
        <v>132414.133</v>
      </c>
      <c r="G26" s="33"/>
      <c r="H26" s="11"/>
      <c r="I26" s="12"/>
      <c r="J26" s="12"/>
      <c r="K26" s="12"/>
      <c r="L26" s="12"/>
      <c r="M26" s="12"/>
    </row>
    <row r="27" spans="1:13" ht="17.399999999999999" customHeight="1">
      <c r="A27" s="258" t="s">
        <v>302</v>
      </c>
      <c r="B27" s="265">
        <v>174675</v>
      </c>
      <c r="C27" s="245">
        <v>129064</v>
      </c>
      <c r="D27" s="245">
        <v>144830</v>
      </c>
      <c r="E27" s="246">
        <v>149586</v>
      </c>
      <c r="F27" s="247" t="s">
        <v>9</v>
      </c>
      <c r="G27" s="33"/>
      <c r="H27" s="11"/>
      <c r="I27" s="12"/>
      <c r="J27" s="12"/>
      <c r="K27" s="12"/>
      <c r="L27" s="12"/>
      <c r="M27" s="12"/>
    </row>
    <row r="28" spans="1:13" ht="17.399999999999999" customHeight="1">
      <c r="A28" s="258" t="s">
        <v>305</v>
      </c>
      <c r="B28" s="265">
        <v>2373</v>
      </c>
      <c r="C28" s="250">
        <v>554</v>
      </c>
      <c r="D28" s="249">
        <v>139</v>
      </c>
      <c r="E28" s="249">
        <v>1432</v>
      </c>
      <c r="F28" s="251" t="s">
        <v>9</v>
      </c>
      <c r="G28" s="33"/>
      <c r="H28" s="11"/>
      <c r="I28" s="12"/>
      <c r="J28" s="12"/>
      <c r="K28" s="12"/>
      <c r="L28" s="12"/>
      <c r="M28" s="12"/>
    </row>
    <row r="29" spans="1:13" ht="17.399999999999999" customHeight="1">
      <c r="A29" s="258" t="s">
        <v>306</v>
      </c>
      <c r="B29" s="265">
        <v>12708</v>
      </c>
      <c r="C29" s="250">
        <v>9783</v>
      </c>
      <c r="D29" s="249">
        <v>9783</v>
      </c>
      <c r="E29" s="249">
        <v>9273</v>
      </c>
      <c r="F29" s="251" t="s">
        <v>9</v>
      </c>
      <c r="G29" s="33"/>
      <c r="H29" s="11"/>
      <c r="I29" s="12"/>
      <c r="J29" s="12"/>
      <c r="K29" s="12"/>
      <c r="L29" s="12"/>
      <c r="M29" s="12"/>
    </row>
    <row r="30" spans="1:13" ht="17.399999999999999" customHeight="1">
      <c r="A30" s="258" t="s">
        <v>307</v>
      </c>
      <c r="B30" s="265">
        <v>8125</v>
      </c>
      <c r="C30" s="250">
        <v>4118</v>
      </c>
      <c r="D30" s="249">
        <v>4584</v>
      </c>
      <c r="E30" s="249">
        <v>4824</v>
      </c>
      <c r="F30" s="251" t="s">
        <v>9</v>
      </c>
      <c r="G30" s="33"/>
      <c r="H30" s="11"/>
      <c r="I30" s="12"/>
      <c r="J30" s="12"/>
      <c r="K30" s="12"/>
      <c r="L30" s="12"/>
      <c r="M30" s="12"/>
    </row>
    <row r="31" spans="1:13" ht="17.399999999999999" customHeight="1">
      <c r="A31" s="674" t="s">
        <v>61</v>
      </c>
      <c r="B31" s="675">
        <f>SUM(B32:B33)</f>
        <v>341345</v>
      </c>
      <c r="C31" s="679">
        <f>291027982/1000</f>
        <v>291027.98200000002</v>
      </c>
      <c r="D31" s="680">
        <f>317941753/1000</f>
        <v>317941.75300000003</v>
      </c>
      <c r="E31" s="680">
        <f>299913295/1000</f>
        <v>299913.29499999998</v>
      </c>
      <c r="F31" s="681">
        <f>234541249/1000</f>
        <v>234541.24900000001</v>
      </c>
      <c r="G31" s="33"/>
      <c r="H31" s="11"/>
      <c r="I31" s="12"/>
      <c r="J31" s="12"/>
      <c r="K31" s="12"/>
      <c r="L31" s="12"/>
      <c r="M31" s="12"/>
    </row>
    <row r="32" spans="1:13" ht="17.399999999999999" customHeight="1">
      <c r="A32" s="258" t="s">
        <v>303</v>
      </c>
      <c r="B32" s="265">
        <v>125173</v>
      </c>
      <c r="C32" s="250">
        <v>60147</v>
      </c>
      <c r="D32" s="249">
        <v>61842</v>
      </c>
      <c r="E32" s="249">
        <v>67012</v>
      </c>
      <c r="F32" s="251" t="s">
        <v>9</v>
      </c>
      <c r="G32" s="33"/>
      <c r="H32" s="11"/>
      <c r="I32" s="12"/>
      <c r="J32" s="12"/>
      <c r="K32" s="12"/>
      <c r="L32" s="12"/>
      <c r="M32" s="12"/>
    </row>
    <row r="33" spans="1:13" ht="17.399999999999999" customHeight="1">
      <c r="A33" s="258" t="s">
        <v>304</v>
      </c>
      <c r="B33" s="265">
        <v>216172</v>
      </c>
      <c r="C33" s="250">
        <v>230881</v>
      </c>
      <c r="D33" s="250">
        <v>256099</v>
      </c>
      <c r="E33" s="250">
        <v>232901</v>
      </c>
      <c r="F33" s="251" t="s">
        <v>9</v>
      </c>
      <c r="G33" s="33"/>
      <c r="H33" s="11"/>
      <c r="I33" s="12"/>
      <c r="J33" s="12"/>
      <c r="K33" s="12"/>
      <c r="L33" s="12"/>
      <c r="M33" s="12"/>
    </row>
    <row r="34" spans="1:13" ht="17.399999999999999" customHeight="1">
      <c r="A34" s="682" t="s">
        <v>308</v>
      </c>
      <c r="B34" s="675">
        <v>0</v>
      </c>
      <c r="C34" s="679">
        <v>0</v>
      </c>
      <c r="D34" s="679">
        <v>0</v>
      </c>
      <c r="E34" s="679">
        <v>0</v>
      </c>
      <c r="F34" s="681">
        <v>0</v>
      </c>
      <c r="G34" s="33"/>
      <c r="H34" s="11"/>
      <c r="I34" s="12"/>
      <c r="J34" s="12"/>
      <c r="K34" s="12"/>
      <c r="L34" s="12"/>
      <c r="M34" s="12"/>
    </row>
    <row r="35" spans="1:13" ht="15" customHeight="1">
      <c r="A35" s="674" t="s">
        <v>262</v>
      </c>
      <c r="B35" s="670">
        <f>SUM(B26,B31)</f>
        <v>539226</v>
      </c>
      <c r="C35" s="668">
        <v>434548.30099999998</v>
      </c>
      <c r="D35" s="668">
        <v>477278.22900000005</v>
      </c>
      <c r="E35" s="668">
        <v>465027.59399999998</v>
      </c>
      <c r="F35" s="669">
        <v>366955.38199999998</v>
      </c>
      <c r="G35" s="33"/>
      <c r="H35" s="11"/>
      <c r="I35" s="12"/>
      <c r="J35" s="12"/>
      <c r="K35" s="12"/>
      <c r="L35" s="12"/>
      <c r="M35" s="12"/>
    </row>
    <row r="36" spans="1:13">
      <c r="A36" s="248" t="s">
        <v>237</v>
      </c>
      <c r="B36" s="187">
        <v>1.32</v>
      </c>
      <c r="C36" s="259">
        <v>1.19</v>
      </c>
      <c r="D36" s="260">
        <v>1.1000000000000001</v>
      </c>
      <c r="E36" s="260">
        <v>1</v>
      </c>
      <c r="F36" s="253">
        <v>1.06</v>
      </c>
      <c r="G36" s="33"/>
      <c r="H36" s="11"/>
      <c r="I36" s="12"/>
      <c r="J36" s="12"/>
      <c r="K36" s="12"/>
      <c r="L36" s="12"/>
      <c r="M36" s="12"/>
    </row>
    <row r="37" spans="1:13" s="77" customFormat="1" ht="23.4" customHeight="1">
      <c r="A37" s="665" t="s">
        <v>229</v>
      </c>
      <c r="B37" s="593">
        <v>15.92</v>
      </c>
      <c r="C37" s="259">
        <v>14.28</v>
      </c>
      <c r="D37" s="260">
        <v>15.29</v>
      </c>
      <c r="E37" s="260">
        <v>13.82</v>
      </c>
      <c r="F37" s="253">
        <v>12.38</v>
      </c>
      <c r="G37" s="31"/>
    </row>
    <row r="38" spans="1:13" s="77" customFormat="1" ht="15" customHeight="1" thickBot="1">
      <c r="A38" s="1"/>
      <c r="B38" s="663"/>
      <c r="C38" s="76"/>
      <c r="D38" s="76"/>
      <c r="E38" s="76"/>
      <c r="F38" s="664"/>
      <c r="G38" s="31"/>
    </row>
    <row r="39" spans="1:13" ht="15" customHeight="1">
      <c r="A39" s="717" t="s">
        <v>63</v>
      </c>
      <c r="B39" s="3"/>
      <c r="C39" s="3"/>
      <c r="D39" s="4"/>
      <c r="E39" s="4"/>
      <c r="F39" s="18"/>
      <c r="G39" s="31"/>
    </row>
    <row r="40" spans="1:13" ht="15" customHeight="1" thickBot="1">
      <c r="A40" s="718"/>
      <c r="B40" s="261"/>
      <c r="C40" s="261"/>
      <c r="D40" s="261"/>
      <c r="E40" s="261"/>
      <c r="G40" s="31"/>
    </row>
    <row r="41" spans="1:13" ht="15" customHeight="1">
      <c r="A41" s="254" t="s">
        <v>50</v>
      </c>
      <c r="B41" s="255" t="s">
        <v>64</v>
      </c>
      <c r="C41" s="262" t="s">
        <v>39</v>
      </c>
      <c r="D41" s="143" t="s">
        <v>65</v>
      </c>
      <c r="E41" s="193" t="s">
        <v>66</v>
      </c>
      <c r="F41" s="243" t="s">
        <v>67</v>
      </c>
      <c r="G41" s="33"/>
    </row>
    <row r="42" spans="1:13" ht="15" customHeight="1">
      <c r="A42" s="257" t="s">
        <v>51</v>
      </c>
      <c r="B42" s="265">
        <v>58108.38</v>
      </c>
      <c r="C42" s="246">
        <v>26515.29</v>
      </c>
      <c r="D42" s="245">
        <v>11959.91</v>
      </c>
      <c r="E42" s="245">
        <v>16141.13</v>
      </c>
      <c r="F42" s="247">
        <f>B42-(C42+D42+E42)</f>
        <v>3492.0500000000029</v>
      </c>
      <c r="G42" s="33"/>
    </row>
    <row r="43" spans="1:13" ht="15" customHeight="1">
      <c r="A43" s="258" t="s">
        <v>52</v>
      </c>
      <c r="B43" s="265">
        <v>70825.820000000007</v>
      </c>
      <c r="C43" s="250">
        <v>32259.29</v>
      </c>
      <c r="D43" s="249">
        <v>16675.060000000001</v>
      </c>
      <c r="E43" s="249">
        <v>18849.939999999999</v>
      </c>
      <c r="F43" s="247">
        <f>B43-(C43+D43+E43)</f>
        <v>3041.5299999999988</v>
      </c>
      <c r="G43" s="33"/>
    </row>
    <row r="44" spans="1:13" ht="15" customHeight="1">
      <c r="A44" s="258" t="s">
        <v>53</v>
      </c>
      <c r="B44" s="265">
        <v>29801.94</v>
      </c>
      <c r="C44" s="250">
        <v>6379.94</v>
      </c>
      <c r="D44" s="249">
        <v>3956.24</v>
      </c>
      <c r="E44" s="249">
        <v>5726.11</v>
      </c>
      <c r="F44" s="247">
        <f>B44-(C44+D44+E44)</f>
        <v>13739.649999999998</v>
      </c>
      <c r="G44" s="33"/>
    </row>
    <row r="45" spans="1:13" ht="15" customHeight="1">
      <c r="A45" s="263" t="s">
        <v>54</v>
      </c>
      <c r="B45" s="265">
        <f>SUM(B42+B44)</f>
        <v>87910.319999999992</v>
      </c>
      <c r="C45" s="250">
        <f>SUM(C42+C44)</f>
        <v>32895.230000000003</v>
      </c>
      <c r="D45" s="250">
        <f>SUM(D42+D44)</f>
        <v>15916.15</v>
      </c>
      <c r="E45" s="250">
        <f>SUM(E42+E44)</f>
        <v>21867.239999999998</v>
      </c>
      <c r="F45" s="247">
        <f>B45-(C45+D45+E45)</f>
        <v>17231.699999999997</v>
      </c>
      <c r="G45" s="33"/>
    </row>
    <row r="46" spans="1:13">
      <c r="A46" s="263" t="s">
        <v>55</v>
      </c>
      <c r="B46" s="265">
        <v>29461.35</v>
      </c>
      <c r="C46" s="250">
        <v>13592.24</v>
      </c>
      <c r="D46" s="249">
        <v>7928.38</v>
      </c>
      <c r="E46" s="249">
        <v>5735.58</v>
      </c>
      <c r="F46" s="247">
        <f>B46-(C46+D46+E46)</f>
        <v>2205.1500000000015</v>
      </c>
      <c r="G46" s="33"/>
    </row>
    <row r="47" spans="1:13">
      <c r="A47" s="258" t="s">
        <v>236</v>
      </c>
      <c r="B47" s="187">
        <v>0.32</v>
      </c>
      <c r="C47" s="259">
        <v>0.27</v>
      </c>
      <c r="D47" s="260">
        <v>0.23</v>
      </c>
      <c r="E47" s="260">
        <v>0.55000000000000004</v>
      </c>
      <c r="F47" s="564" t="s">
        <v>9</v>
      </c>
      <c r="G47" s="33"/>
    </row>
    <row r="48" spans="1:13">
      <c r="A48" s="258" t="s">
        <v>228</v>
      </c>
      <c r="B48" s="187">
        <v>3.81</v>
      </c>
      <c r="C48" s="259">
        <v>3.21</v>
      </c>
      <c r="D48" s="260">
        <v>2.79</v>
      </c>
      <c r="E48" s="260">
        <v>6.61</v>
      </c>
      <c r="F48" s="264" t="s">
        <v>9</v>
      </c>
      <c r="G48" s="13"/>
    </row>
    <row r="49" spans="1:7" ht="15" customHeight="1" thickBot="1">
      <c r="A49" s="641"/>
      <c r="B49" s="643"/>
      <c r="C49" s="643"/>
      <c r="D49" s="643"/>
      <c r="E49" s="643"/>
      <c r="F49" s="642"/>
      <c r="G49" s="13"/>
    </row>
    <row r="50" spans="1:7" ht="15" customHeight="1">
      <c r="A50" s="254" t="s">
        <v>59</v>
      </c>
      <c r="B50" s="255" t="s">
        <v>64</v>
      </c>
      <c r="C50" s="262" t="s">
        <v>39</v>
      </c>
      <c r="D50" s="143" t="s">
        <v>65</v>
      </c>
      <c r="E50" s="193" t="s">
        <v>66</v>
      </c>
      <c r="F50" s="256" t="s">
        <v>67</v>
      </c>
      <c r="G50" s="33"/>
    </row>
    <row r="51" spans="1:7" ht="15" customHeight="1">
      <c r="A51" s="257" t="s">
        <v>60</v>
      </c>
      <c r="B51" s="265">
        <f>197880864/1000</f>
        <v>197880.864</v>
      </c>
      <c r="C51" s="246">
        <f>92886343/1000</f>
        <v>92886.342999999993</v>
      </c>
      <c r="D51" s="245">
        <f>37618683/1000</f>
        <v>37618.682999999997</v>
      </c>
      <c r="E51" s="245">
        <f>59131897/1000</f>
        <v>59131.896999999997</v>
      </c>
      <c r="F51" s="251">
        <f>B51-(C51+D51+E51)</f>
        <v>8243.9410000000207</v>
      </c>
      <c r="G51" s="33"/>
    </row>
    <row r="52" spans="1:7" ht="15" customHeight="1">
      <c r="A52" s="257" t="s">
        <v>61</v>
      </c>
      <c r="B52" s="265">
        <f>341344926/1000</f>
        <v>341344.92599999998</v>
      </c>
      <c r="C52" s="250">
        <f>188840283/1000</f>
        <v>188840.283</v>
      </c>
      <c r="D52" s="249">
        <f>66162247/1000</f>
        <v>66162.247000000003</v>
      </c>
      <c r="E52" s="249">
        <f>68570157/1000</f>
        <v>68570.157000000007</v>
      </c>
      <c r="F52" s="251">
        <f>B52-(C52+D52+E52)</f>
        <v>17772.238999999943</v>
      </c>
      <c r="G52" s="33"/>
    </row>
    <row r="53" spans="1:7" ht="15" customHeight="1">
      <c r="A53" s="258" t="s">
        <v>62</v>
      </c>
      <c r="B53" s="265">
        <v>0</v>
      </c>
      <c r="C53" s="250">
        <v>0</v>
      </c>
      <c r="D53" s="249">
        <v>0</v>
      </c>
      <c r="E53" s="249">
        <v>0</v>
      </c>
      <c r="F53" s="251">
        <v>0</v>
      </c>
      <c r="G53" s="33"/>
    </row>
    <row r="54" spans="1:7" ht="15" customHeight="1">
      <c r="A54" s="263" t="s">
        <v>262</v>
      </c>
      <c r="B54" s="591">
        <f>SUM(B51:B52)</f>
        <v>539225.79</v>
      </c>
      <c r="C54" s="590">
        <f t="shared" ref="C54:F54" si="0">SUM(C51:C52)</f>
        <v>281726.62599999999</v>
      </c>
      <c r="D54" s="590">
        <f t="shared" si="0"/>
        <v>103780.93</v>
      </c>
      <c r="E54" s="590">
        <f t="shared" si="0"/>
        <v>127702.054</v>
      </c>
      <c r="F54" s="592">
        <f t="shared" si="0"/>
        <v>26016.179999999964</v>
      </c>
      <c r="G54" s="33"/>
    </row>
    <row r="55" spans="1:7" ht="15" customHeight="1">
      <c r="A55" s="258" t="s">
        <v>237</v>
      </c>
      <c r="B55" s="187">
        <v>1.32</v>
      </c>
      <c r="C55" s="259">
        <f>SUM(C51:C52)/220501</f>
        <v>1.2776659788390983</v>
      </c>
      <c r="D55" s="260">
        <f>SUM(D51:D52)/123732</f>
        <v>0.83875577861830397</v>
      </c>
      <c r="E55" s="260">
        <f>SUM(E51:E52)/63769</f>
        <v>2.0025726293340025</v>
      </c>
      <c r="F55" s="253" t="s">
        <v>9</v>
      </c>
      <c r="G55" s="33"/>
    </row>
    <row r="56" spans="1:7" ht="22.95" customHeight="1">
      <c r="A56" s="258" t="s">
        <v>229</v>
      </c>
      <c r="B56" s="187">
        <v>15.92</v>
      </c>
      <c r="C56" s="259">
        <f>SUM(C51:C52)/18302</f>
        <v>15.393215277018905</v>
      </c>
      <c r="D56" s="260">
        <f>SUM(D51:D52)/10270</f>
        <v>10.105251217137292</v>
      </c>
      <c r="E56" s="260">
        <f>SUM(E51:E52)/5293</f>
        <v>24.126592480634802</v>
      </c>
      <c r="F56" s="253" t="s">
        <v>9</v>
      </c>
      <c r="G56" s="33"/>
    </row>
    <row r="57" spans="1:7" ht="15" customHeight="1" thickBot="1">
      <c r="A57" s="41"/>
      <c r="B57" s="42"/>
      <c r="C57" s="44"/>
      <c r="D57" s="29"/>
      <c r="E57" s="29"/>
      <c r="F57" s="18"/>
      <c r="G57" s="32"/>
    </row>
    <row r="58" spans="1:7" ht="15" customHeight="1">
      <c r="A58" s="93"/>
      <c r="B58" s="11"/>
      <c r="C58" s="14"/>
      <c r="D58" s="14"/>
      <c r="E58" s="14"/>
      <c r="G58" s="13"/>
    </row>
    <row r="59" spans="1:7" s="212" customFormat="1">
      <c r="A59" s="730" t="s">
        <v>263</v>
      </c>
      <c r="B59" s="731"/>
      <c r="C59" s="731"/>
      <c r="D59" s="731"/>
      <c r="E59" s="731"/>
      <c r="F59" s="732"/>
      <c r="G59" s="557"/>
    </row>
    <row r="60" spans="1:7" s="212" customFormat="1" ht="30" customHeight="1">
      <c r="A60" s="733" t="s">
        <v>231</v>
      </c>
      <c r="B60" s="733"/>
      <c r="C60" s="733"/>
      <c r="D60" s="733"/>
      <c r="E60" s="733"/>
      <c r="F60" s="734"/>
      <c r="G60" s="558"/>
    </row>
    <row r="61" spans="1:7" s="212" customFormat="1" ht="12" customHeight="1">
      <c r="A61" s="721" t="s">
        <v>68</v>
      </c>
      <c r="B61" s="722"/>
      <c r="C61" s="722"/>
      <c r="D61" s="722"/>
      <c r="E61" s="723"/>
      <c r="G61" s="559"/>
    </row>
    <row r="62" spans="1:7" s="212" customFormat="1">
      <c r="A62" s="735" t="s">
        <v>69</v>
      </c>
      <c r="B62" s="736"/>
      <c r="C62" s="736"/>
      <c r="D62" s="736"/>
      <c r="E62" s="736"/>
      <c r="F62" s="737"/>
      <c r="G62" s="559"/>
    </row>
    <row r="63" spans="1:7" s="212" customFormat="1">
      <c r="A63" s="722" t="s">
        <v>232</v>
      </c>
      <c r="B63" s="722"/>
      <c r="C63" s="722"/>
      <c r="D63" s="722"/>
      <c r="E63" s="723"/>
      <c r="F63" s="560"/>
      <c r="G63" s="559"/>
    </row>
    <row r="64" spans="1:7" s="212" customFormat="1">
      <c r="A64" s="722" t="s">
        <v>233</v>
      </c>
      <c r="B64" s="722"/>
      <c r="C64" s="722"/>
      <c r="D64" s="722"/>
      <c r="E64" s="722"/>
      <c r="F64" s="723"/>
      <c r="G64" s="559"/>
    </row>
    <row r="65" spans="1:7" s="212" customFormat="1">
      <c r="A65" s="724" t="s">
        <v>264</v>
      </c>
      <c r="B65" s="725"/>
      <c r="C65" s="725"/>
      <c r="D65" s="725"/>
      <c r="E65" s="726"/>
      <c r="F65" s="565"/>
      <c r="G65" s="559"/>
    </row>
    <row r="66" spans="1:7" s="212" customFormat="1">
      <c r="A66" s="727" t="s">
        <v>234</v>
      </c>
      <c r="B66" s="728"/>
      <c r="C66" s="728"/>
      <c r="D66" s="728"/>
      <c r="E66" s="729"/>
      <c r="F66" s="560"/>
      <c r="G66" s="559"/>
    </row>
    <row r="67" spans="1:7" s="212" customFormat="1">
      <c r="A67" s="722" t="s">
        <v>235</v>
      </c>
      <c r="B67" s="722"/>
      <c r="C67" s="722"/>
      <c r="D67" s="722"/>
      <c r="E67" s="723"/>
      <c r="F67" s="561"/>
      <c r="G67" s="559"/>
    </row>
    <row r="68" spans="1:7" s="212" customFormat="1">
      <c r="A68" s="721" t="s">
        <v>265</v>
      </c>
      <c r="B68" s="722"/>
      <c r="C68" s="722"/>
      <c r="D68" s="722"/>
      <c r="E68" s="722"/>
      <c r="F68" s="723"/>
      <c r="G68" s="562"/>
    </row>
    <row r="69" spans="1:7" s="212" customFormat="1" ht="10.95" customHeight="1">
      <c r="A69" s="721" t="s">
        <v>309</v>
      </c>
      <c r="B69" s="722"/>
      <c r="C69" s="722"/>
      <c r="D69" s="722"/>
      <c r="E69" s="722"/>
      <c r="F69" s="723"/>
      <c r="G69" s="563"/>
    </row>
    <row r="70" spans="1:7">
      <c r="A70" s="721" t="s">
        <v>312</v>
      </c>
      <c r="B70" s="722"/>
      <c r="C70" s="722"/>
      <c r="D70" s="722"/>
      <c r="E70" s="722"/>
      <c r="F70" s="723"/>
      <c r="G70" s="119"/>
    </row>
    <row r="71" spans="1:7">
      <c r="A71" s="119"/>
      <c r="B71" s="119"/>
      <c r="C71" s="119"/>
      <c r="D71" s="119"/>
      <c r="E71" s="119"/>
      <c r="F71" s="119"/>
      <c r="G71" s="119"/>
    </row>
    <row r="72" spans="1:7">
      <c r="A72" s="563"/>
      <c r="B72" s="119"/>
      <c r="C72" s="119"/>
      <c r="D72" s="119"/>
      <c r="E72" s="119"/>
      <c r="F72" s="119"/>
      <c r="G72" s="119"/>
    </row>
    <row r="73" spans="1:7">
      <c r="A73" s="119"/>
      <c r="B73" s="119"/>
      <c r="C73" s="119"/>
      <c r="D73" s="119"/>
      <c r="E73" s="119"/>
      <c r="F73" s="119"/>
      <c r="G73" s="119"/>
    </row>
    <row r="74" spans="1:7">
      <c r="A74" s="119"/>
      <c r="B74" s="119"/>
      <c r="C74" s="119"/>
      <c r="D74" s="119"/>
      <c r="E74" s="119"/>
      <c r="F74" s="119"/>
      <c r="G74" s="119"/>
    </row>
    <row r="75" spans="1:7">
      <c r="A75" s="119"/>
      <c r="B75" s="119"/>
      <c r="C75" s="119"/>
      <c r="D75" s="119"/>
      <c r="E75" s="119"/>
      <c r="F75" s="119"/>
      <c r="G75" s="119"/>
    </row>
    <row r="76" spans="1:7">
      <c r="A76" s="119"/>
      <c r="B76" s="119"/>
      <c r="C76" s="119"/>
      <c r="D76" s="119"/>
      <c r="E76" s="119"/>
      <c r="F76" s="119"/>
      <c r="G76" s="119"/>
    </row>
    <row r="77" spans="1:7">
      <c r="A77" s="119"/>
      <c r="B77" s="119"/>
      <c r="C77" s="119"/>
      <c r="D77" s="119"/>
      <c r="E77" s="119"/>
      <c r="F77" s="119"/>
      <c r="G77" s="119"/>
    </row>
    <row r="78" spans="1:7">
      <c r="A78" s="119"/>
      <c r="B78" s="119"/>
      <c r="C78" s="119"/>
      <c r="D78" s="119"/>
      <c r="E78" s="119"/>
      <c r="F78" s="119"/>
      <c r="G78" s="119"/>
    </row>
    <row r="79" spans="1:7">
      <c r="A79" s="119"/>
    </row>
  </sheetData>
  <mergeCells count="14">
    <mergeCell ref="A70:F70"/>
    <mergeCell ref="A6:A7"/>
    <mergeCell ref="A39:A40"/>
    <mergeCell ref="A61:E61"/>
    <mergeCell ref="A63:E63"/>
    <mergeCell ref="A65:E65"/>
    <mergeCell ref="A68:F68"/>
    <mergeCell ref="A69:F69"/>
    <mergeCell ref="A66:E66"/>
    <mergeCell ref="A67:E67"/>
    <mergeCell ref="A59:F59"/>
    <mergeCell ref="A60:F60"/>
    <mergeCell ref="A62:F62"/>
    <mergeCell ref="A64:F6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topLeftCell="A20" zoomScale="91" zoomScaleNormal="100" workbookViewId="0">
      <selection activeCell="A46" sqref="A46:G47"/>
    </sheetView>
  </sheetViews>
  <sheetFormatPr baseColWidth="10" defaultColWidth="8.5546875" defaultRowHeight="10.8"/>
  <cols>
    <col min="1" max="1" width="14.88671875" style="1" customWidth="1"/>
    <col min="2" max="2" width="46.88671875" style="1" customWidth="1"/>
    <col min="3" max="3" width="20.44140625" style="81" customWidth="1"/>
    <col min="4" max="5" width="20.44140625" style="59" customWidth="1"/>
    <col min="6" max="6" width="16.88671875" style="1" customWidth="1"/>
    <col min="7" max="7" width="21.44140625" style="1" customWidth="1"/>
    <col min="8" max="8" width="24.44140625" style="1" customWidth="1"/>
    <col min="9" max="10" width="11.44140625" style="1" customWidth="1"/>
    <col min="11" max="11" width="13.44140625" style="1" customWidth="1"/>
    <col min="12" max="12" width="10.5546875" style="1" customWidth="1"/>
    <col min="13" max="13" width="11.5546875" style="1" customWidth="1"/>
    <col min="14" max="16384" width="8.5546875" style="1"/>
  </cols>
  <sheetData>
    <row r="1" spans="1:9" ht="15" customHeight="1">
      <c r="B1" s="18"/>
    </row>
    <row r="2" spans="1:9" ht="15" customHeight="1">
      <c r="B2" s="18"/>
    </row>
    <row r="3" spans="1:9" ht="30" customHeight="1"/>
    <row r="4" spans="1:9" ht="15" customHeight="1">
      <c r="A4" s="94"/>
      <c r="B4" s="94"/>
      <c r="C4" s="98"/>
      <c r="D4" s="95"/>
      <c r="E4" s="95"/>
      <c r="F4" s="94"/>
      <c r="G4" s="94"/>
      <c r="H4" s="94"/>
      <c r="I4" s="94"/>
    </row>
    <row r="5" spans="1:9" s="61" customFormat="1" ht="25.8">
      <c r="A5" s="131" t="s">
        <v>70</v>
      </c>
      <c r="B5" s="60"/>
    </row>
    <row r="6" spans="1:9" ht="15" customHeight="1">
      <c r="A6" s="738" t="s">
        <v>238</v>
      </c>
      <c r="B6" s="738"/>
      <c r="C6" s="738"/>
      <c r="D6" s="738"/>
      <c r="E6" s="738"/>
      <c r="F6" s="738"/>
      <c r="G6" s="738"/>
    </row>
    <row r="7" spans="1:9" ht="15" customHeight="1" thickBot="1">
      <c r="A7" s="739"/>
      <c r="B7" s="739"/>
      <c r="C7" s="739"/>
      <c r="D7" s="739"/>
      <c r="E7" s="739"/>
      <c r="F7" s="739"/>
      <c r="G7" s="739"/>
    </row>
    <row r="8" spans="1:9" ht="15" customHeight="1">
      <c r="A8" s="266"/>
      <c r="B8" s="267"/>
      <c r="C8" s="268">
        <v>2024</v>
      </c>
      <c r="D8" s="143">
        <v>2023</v>
      </c>
      <c r="E8" s="193">
        <v>2022</v>
      </c>
      <c r="F8" s="242">
        <v>2021</v>
      </c>
      <c r="G8" s="269">
        <v>2020</v>
      </c>
    </row>
    <row r="9" spans="1:9" ht="15" customHeight="1">
      <c r="A9" s="750" t="s">
        <v>71</v>
      </c>
      <c r="B9" s="270" t="s">
        <v>72</v>
      </c>
      <c r="C9" s="597">
        <v>557360</v>
      </c>
      <c r="D9" s="271">
        <v>578919</v>
      </c>
      <c r="E9" s="271">
        <v>651066</v>
      </c>
      <c r="F9" s="271">
        <v>589904</v>
      </c>
      <c r="G9" s="272">
        <v>454527</v>
      </c>
    </row>
    <row r="10" spans="1:9" ht="15" customHeight="1">
      <c r="A10" s="751"/>
      <c r="B10" s="248" t="s">
        <v>73</v>
      </c>
      <c r="C10" s="597">
        <v>1779270</v>
      </c>
      <c r="D10" s="271">
        <v>2130252</v>
      </c>
      <c r="E10" s="271">
        <v>2396165</v>
      </c>
      <c r="F10" s="271">
        <v>2419802</v>
      </c>
      <c r="G10" s="272">
        <v>1869751</v>
      </c>
    </row>
    <row r="11" spans="1:9" ht="15" customHeight="1">
      <c r="A11" s="752"/>
      <c r="B11" s="248" t="s">
        <v>74</v>
      </c>
      <c r="C11" s="598">
        <v>0.31325206404873907</v>
      </c>
      <c r="D11" s="273">
        <v>0.27176080576382511</v>
      </c>
      <c r="E11" s="273">
        <v>0.27171167261019169</v>
      </c>
      <c r="F11" s="273">
        <v>0.243781929265287</v>
      </c>
      <c r="G11" s="274">
        <v>0.24309493617064518</v>
      </c>
    </row>
    <row r="12" spans="1:9" ht="15" customHeight="1">
      <c r="A12" s="747" t="s">
        <v>75</v>
      </c>
      <c r="B12" s="275" t="s">
        <v>76</v>
      </c>
      <c r="C12" s="597">
        <v>49.5</v>
      </c>
      <c r="D12" s="271">
        <v>157.26999999999998</v>
      </c>
      <c r="E12" s="271">
        <v>144.25</v>
      </c>
      <c r="F12" s="271">
        <v>161.43</v>
      </c>
      <c r="G12" s="272">
        <v>83.98</v>
      </c>
    </row>
    <row r="13" spans="1:9" ht="15" customHeight="1">
      <c r="A13" s="748"/>
      <c r="B13" s="248" t="s">
        <v>77</v>
      </c>
      <c r="C13" s="597">
        <v>2758.1299999999997</v>
      </c>
      <c r="D13" s="271">
        <v>2712.27</v>
      </c>
      <c r="E13" s="271">
        <v>2397.75</v>
      </c>
      <c r="F13" s="271">
        <v>2213.33</v>
      </c>
      <c r="G13" s="272">
        <v>1783.87</v>
      </c>
    </row>
    <row r="14" spans="1:9" ht="15" customHeight="1">
      <c r="A14" s="749"/>
      <c r="B14" s="276" t="s">
        <v>34</v>
      </c>
      <c r="C14" s="277">
        <v>2807.6299999999997</v>
      </c>
      <c r="D14" s="278">
        <v>2869.54</v>
      </c>
      <c r="E14" s="278">
        <v>2542</v>
      </c>
      <c r="F14" s="278">
        <v>2374.7599999999998</v>
      </c>
      <c r="G14" s="279">
        <v>1867.85</v>
      </c>
    </row>
    <row r="15" spans="1:9" ht="15" customHeight="1">
      <c r="A15" s="747" t="s">
        <v>78</v>
      </c>
      <c r="B15" s="280" t="s">
        <v>79</v>
      </c>
      <c r="C15" s="597">
        <v>62.019999999999996</v>
      </c>
      <c r="D15" s="271">
        <v>50.83</v>
      </c>
      <c r="E15" s="271">
        <v>62.16</v>
      </c>
      <c r="F15" s="271">
        <v>66.75</v>
      </c>
      <c r="G15" s="272">
        <v>67.45</v>
      </c>
    </row>
    <row r="16" spans="1:9" ht="15" customHeight="1">
      <c r="A16" s="748"/>
      <c r="B16" s="281" t="s">
        <v>80</v>
      </c>
      <c r="C16" s="597">
        <v>5486.76</v>
      </c>
      <c r="D16" s="271">
        <v>2894.93</v>
      </c>
      <c r="E16" s="271">
        <v>3215.08</v>
      </c>
      <c r="F16" s="271">
        <v>3846.84</v>
      </c>
      <c r="G16" s="272">
        <v>3992.15</v>
      </c>
    </row>
    <row r="17" spans="1:9" ht="15" customHeight="1">
      <c r="A17" s="749"/>
      <c r="B17" s="282" t="s">
        <v>34</v>
      </c>
      <c r="C17" s="277">
        <v>5548.7800000000007</v>
      </c>
      <c r="D17" s="278">
        <v>2945.7599999999998</v>
      </c>
      <c r="E17" s="278">
        <v>3277.24</v>
      </c>
      <c r="F17" s="278">
        <v>3913.59</v>
      </c>
      <c r="G17" s="279">
        <v>4059.6</v>
      </c>
    </row>
    <row r="18" spans="1:9" ht="22.5" customHeight="1">
      <c r="A18" s="747" t="s">
        <v>81</v>
      </c>
      <c r="B18" s="283" t="s">
        <v>82</v>
      </c>
      <c r="C18" s="597">
        <f>-C17+C14</f>
        <v>-2741.150000000001</v>
      </c>
      <c r="D18" s="271">
        <v>-474.46</v>
      </c>
      <c r="E18" s="271">
        <v>-735.23</v>
      </c>
      <c r="F18" s="271">
        <v>-1520.27</v>
      </c>
      <c r="G18" s="272">
        <v>-2191.75</v>
      </c>
    </row>
    <row r="19" spans="1:9" ht="15" customHeight="1">
      <c r="A19" s="748"/>
      <c r="B19" s="248" t="s">
        <v>83</v>
      </c>
      <c r="C19" s="597">
        <v>138</v>
      </c>
      <c r="D19" s="271">
        <v>163</v>
      </c>
      <c r="E19" s="271">
        <v>171</v>
      </c>
      <c r="F19" s="271">
        <v>193</v>
      </c>
      <c r="G19" s="272">
        <v>231</v>
      </c>
    </row>
    <row r="20" spans="1:9" ht="15" customHeight="1">
      <c r="A20" s="749"/>
      <c r="B20" s="280" t="s">
        <v>84</v>
      </c>
      <c r="C20" s="599">
        <v>0.77</v>
      </c>
      <c r="D20" s="154">
        <v>0.84</v>
      </c>
      <c r="E20" s="154">
        <v>0.85</v>
      </c>
      <c r="F20" s="154">
        <v>0.86</v>
      </c>
      <c r="G20" s="284">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59" t="s">
        <v>239</v>
      </c>
      <c r="B23" s="759"/>
      <c r="C23" s="759"/>
      <c r="D23" s="759"/>
      <c r="E23" s="40"/>
      <c r="F23" s="40"/>
      <c r="G23" s="40"/>
      <c r="H23" s="40"/>
    </row>
    <row r="24" spans="1:9" ht="10.95" customHeight="1" thickBot="1">
      <c r="A24" s="760"/>
      <c r="B24" s="760"/>
      <c r="C24" s="760"/>
      <c r="D24" s="760"/>
      <c r="E24" s="16"/>
      <c r="F24" s="18"/>
      <c r="H24" s="40"/>
    </row>
    <row r="25" spans="1:9" ht="30.6" customHeight="1">
      <c r="A25" s="266"/>
      <c r="B25" s="267"/>
      <c r="C25" s="268" t="s">
        <v>64</v>
      </c>
      <c r="D25" s="143" t="s">
        <v>39</v>
      </c>
      <c r="E25" s="193" t="s">
        <v>85</v>
      </c>
      <c r="F25" s="242" t="s">
        <v>86</v>
      </c>
      <c r="G25" s="242" t="s">
        <v>87</v>
      </c>
      <c r="H25" s="242" t="s">
        <v>88</v>
      </c>
      <c r="I25" s="269" t="s">
        <v>89</v>
      </c>
    </row>
    <row r="26" spans="1:9" ht="15" customHeight="1">
      <c r="A26" s="753" t="s">
        <v>71</v>
      </c>
      <c r="B26" s="270" t="s">
        <v>72</v>
      </c>
      <c r="C26" s="597">
        <v>557360</v>
      </c>
      <c r="D26" s="271">
        <v>258610</v>
      </c>
      <c r="E26" s="271">
        <v>298750</v>
      </c>
      <c r="F26" s="271" t="s">
        <v>9</v>
      </c>
      <c r="G26" s="271" t="s">
        <v>9</v>
      </c>
      <c r="H26" s="271" t="s">
        <v>9</v>
      </c>
      <c r="I26" s="272" t="s">
        <v>9</v>
      </c>
    </row>
    <row r="27" spans="1:9" ht="15" customHeight="1">
      <c r="A27" s="754"/>
      <c r="B27" s="248" t="s">
        <v>73</v>
      </c>
      <c r="C27" s="597">
        <v>1779270</v>
      </c>
      <c r="D27" s="271">
        <v>1197966</v>
      </c>
      <c r="E27" s="271">
        <v>581304</v>
      </c>
      <c r="F27" s="271" t="s">
        <v>9</v>
      </c>
      <c r="G27" s="271" t="s">
        <v>9</v>
      </c>
      <c r="H27" s="271" t="s">
        <v>9</v>
      </c>
      <c r="I27" s="272" t="s">
        <v>9</v>
      </c>
    </row>
    <row r="28" spans="1:9" ht="15" customHeight="1">
      <c r="A28" s="755"/>
      <c r="B28" s="248" t="s">
        <v>74</v>
      </c>
      <c r="C28" s="598">
        <v>0.31325206404873907</v>
      </c>
      <c r="D28" s="273">
        <v>0.2158742401704222</v>
      </c>
      <c r="E28" s="273">
        <v>0.51393074879925138</v>
      </c>
      <c r="F28" s="273" t="s">
        <v>9</v>
      </c>
      <c r="G28" s="273" t="s">
        <v>9</v>
      </c>
      <c r="H28" s="273" t="s">
        <v>9</v>
      </c>
      <c r="I28" s="274" t="s">
        <v>9</v>
      </c>
    </row>
    <row r="29" spans="1:9" ht="15" customHeight="1">
      <c r="A29" s="756" t="s">
        <v>75</v>
      </c>
      <c r="B29" s="275" t="s">
        <v>76</v>
      </c>
      <c r="C29" s="597">
        <f>SUM(D29:I29)</f>
        <v>49.5</v>
      </c>
      <c r="D29" s="271" t="s">
        <v>9</v>
      </c>
      <c r="E29" s="271" t="s">
        <v>9</v>
      </c>
      <c r="F29" s="271">
        <v>3.8</v>
      </c>
      <c r="G29" s="271">
        <v>32.85</v>
      </c>
      <c r="H29" s="271">
        <v>2.3199999999999998</v>
      </c>
      <c r="I29" s="272">
        <v>10.53</v>
      </c>
    </row>
    <row r="30" spans="1:9" ht="15" customHeight="1">
      <c r="A30" s="757"/>
      <c r="B30" s="248" t="s">
        <v>77</v>
      </c>
      <c r="C30" s="597">
        <v>2758.1299999999997</v>
      </c>
      <c r="D30" s="271">
        <v>1689.29</v>
      </c>
      <c r="E30" s="271">
        <v>969.74</v>
      </c>
      <c r="F30" s="271">
        <v>99.1</v>
      </c>
      <c r="G30" s="271" t="s">
        <v>9</v>
      </c>
      <c r="H30" s="271" t="s">
        <v>9</v>
      </c>
      <c r="I30" s="272" t="s">
        <v>9</v>
      </c>
    </row>
    <row r="31" spans="1:9" ht="15" customHeight="1">
      <c r="A31" s="758"/>
      <c r="B31" s="276" t="s">
        <v>34</v>
      </c>
      <c r="C31" s="277">
        <f>SUM(C29:C30)</f>
        <v>2807.6299999999997</v>
      </c>
      <c r="D31" s="278">
        <v>1689.29</v>
      </c>
      <c r="E31" s="278">
        <v>969.74</v>
      </c>
      <c r="F31" s="278">
        <v>105</v>
      </c>
      <c r="G31" s="278">
        <v>32.85</v>
      </c>
      <c r="H31" s="278">
        <v>2.3199999999999998</v>
      </c>
      <c r="I31" s="279">
        <v>10.53</v>
      </c>
    </row>
    <row r="32" spans="1:9" ht="15" customHeight="1">
      <c r="A32" s="756" t="s">
        <v>78</v>
      </c>
      <c r="B32" s="280" t="s">
        <v>79</v>
      </c>
      <c r="C32" s="597">
        <v>62.019999999999996</v>
      </c>
      <c r="D32" s="271">
        <v>0</v>
      </c>
      <c r="E32" s="271">
        <v>0</v>
      </c>
      <c r="F32" s="271">
        <f>15.9+10</f>
        <v>25.9</v>
      </c>
      <c r="G32" s="271">
        <v>6.55</v>
      </c>
      <c r="H32" s="271">
        <v>2.4700000000000002</v>
      </c>
      <c r="I32" s="272">
        <v>27.07</v>
      </c>
    </row>
    <row r="33" spans="1:9" ht="15" customHeight="1">
      <c r="A33" s="757"/>
      <c r="B33" s="281" t="s">
        <v>80</v>
      </c>
      <c r="C33" s="597">
        <v>5486.76</v>
      </c>
      <c r="D33" s="271">
        <v>1486.16</v>
      </c>
      <c r="E33" s="271">
        <v>0</v>
      </c>
      <c r="F33" s="271">
        <v>1061.72</v>
      </c>
      <c r="G33" s="271">
        <v>217.37</v>
      </c>
      <c r="H33" s="271">
        <v>665.64</v>
      </c>
      <c r="I33" s="272">
        <v>2055.87</v>
      </c>
    </row>
    <row r="34" spans="1:9" ht="15" customHeight="1">
      <c r="A34" s="758"/>
      <c r="B34" s="282" t="s">
        <v>34</v>
      </c>
      <c r="C34" s="277">
        <v>5548.7800000000007</v>
      </c>
      <c r="D34" s="278">
        <v>1486.16</v>
      </c>
      <c r="E34" s="278">
        <v>0</v>
      </c>
      <c r="F34" s="278">
        <f>SUM(F32:F33)</f>
        <v>1087.6200000000001</v>
      </c>
      <c r="G34" s="278">
        <v>223.92000000000002</v>
      </c>
      <c r="H34" s="278">
        <v>668.11</v>
      </c>
      <c r="I34" s="279">
        <v>2082.94</v>
      </c>
    </row>
    <row r="35" spans="1:9" ht="22.5" customHeight="1">
      <c r="A35" s="756" t="s">
        <v>81</v>
      </c>
      <c r="B35" s="283" t="s">
        <v>82</v>
      </c>
      <c r="C35" s="597">
        <f>C31-C34</f>
        <v>-2741.150000000001</v>
      </c>
      <c r="D35" s="639">
        <f t="shared" ref="D35:I35" si="0">D31-D34</f>
        <v>203.12999999999988</v>
      </c>
      <c r="E35" s="639">
        <f t="shared" si="0"/>
        <v>969.74</v>
      </c>
      <c r="F35" s="639">
        <f t="shared" si="0"/>
        <v>-982.62000000000012</v>
      </c>
      <c r="G35" s="639">
        <f t="shared" si="0"/>
        <v>-191.07000000000002</v>
      </c>
      <c r="H35" s="639">
        <f t="shared" si="0"/>
        <v>-665.79</v>
      </c>
      <c r="I35" s="640">
        <f t="shared" si="0"/>
        <v>-2072.41</v>
      </c>
    </row>
    <row r="36" spans="1:9" ht="15" customHeight="1">
      <c r="A36" s="757"/>
      <c r="B36" s="248" t="s">
        <v>83</v>
      </c>
      <c r="C36" s="597">
        <v>138</v>
      </c>
      <c r="D36" s="271">
        <v>143</v>
      </c>
      <c r="E36" s="271">
        <v>180</v>
      </c>
      <c r="F36" s="271">
        <v>138</v>
      </c>
      <c r="G36" s="271">
        <v>94</v>
      </c>
      <c r="H36" s="271">
        <v>135</v>
      </c>
      <c r="I36" s="272">
        <v>138</v>
      </c>
    </row>
    <row r="37" spans="1:9" ht="15" customHeight="1">
      <c r="A37" s="758"/>
      <c r="B37" s="285" t="s">
        <v>84</v>
      </c>
      <c r="C37" s="600">
        <v>0.77</v>
      </c>
      <c r="D37" s="154">
        <v>0.81</v>
      </c>
      <c r="E37" s="154">
        <v>0.71</v>
      </c>
      <c r="F37" s="154" t="s">
        <v>9</v>
      </c>
      <c r="G37" s="154" t="s">
        <v>9</v>
      </c>
      <c r="H37" s="154" t="s">
        <v>9</v>
      </c>
      <c r="I37" s="284" t="s">
        <v>9</v>
      </c>
    </row>
    <row r="38" spans="1:9" ht="15" customHeight="1">
      <c r="B38" s="117"/>
      <c r="C38" s="118"/>
      <c r="D38" s="117"/>
      <c r="E38" s="117"/>
      <c r="F38" s="117"/>
      <c r="G38" s="117"/>
      <c r="H38" s="40"/>
    </row>
    <row r="39" spans="1:9" ht="15" customHeight="1">
      <c r="B39" s="40"/>
      <c r="C39" s="58"/>
      <c r="D39" s="40"/>
      <c r="E39" s="40"/>
      <c r="F39" s="40"/>
      <c r="G39" s="40"/>
      <c r="H39" s="40"/>
    </row>
    <row r="40" spans="1:9" ht="20.399999999999999" customHeight="1">
      <c r="A40" s="761" t="s">
        <v>90</v>
      </c>
      <c r="B40" s="740"/>
      <c r="C40" s="740"/>
      <c r="D40" s="740"/>
      <c r="E40" s="740"/>
      <c r="F40" s="740"/>
      <c r="G40" s="740"/>
      <c r="H40" s="740"/>
      <c r="I40" s="740"/>
    </row>
    <row r="41" spans="1:9">
      <c r="A41" s="745" t="s">
        <v>91</v>
      </c>
      <c r="B41" s="745"/>
      <c r="C41" s="745"/>
      <c r="D41" s="745"/>
      <c r="E41" s="745"/>
      <c r="F41" s="745"/>
      <c r="G41" s="746"/>
      <c r="H41" s="212"/>
      <c r="I41" s="212"/>
    </row>
    <row r="42" spans="1:9">
      <c r="A42" s="742" t="s">
        <v>92</v>
      </c>
      <c r="B42" s="743"/>
      <c r="C42" s="743"/>
      <c r="D42" s="743"/>
      <c r="E42" s="744"/>
      <c r="F42" s="212"/>
      <c r="G42" s="559"/>
      <c r="H42" s="212"/>
      <c r="I42" s="212"/>
    </row>
    <row r="43" spans="1:9">
      <c r="A43" s="741" t="s">
        <v>93</v>
      </c>
      <c r="B43" s="740"/>
      <c r="C43" s="740"/>
      <c r="D43" s="740"/>
      <c r="E43" s="740"/>
      <c r="F43" s="740"/>
      <c r="G43" s="740"/>
      <c r="H43" s="740"/>
      <c r="I43" s="740"/>
    </row>
    <row r="44" spans="1:9" ht="19.8" customHeight="1">
      <c r="A44" s="741" t="s">
        <v>313</v>
      </c>
      <c r="B44" s="740"/>
      <c r="C44" s="740"/>
      <c r="D44" s="740"/>
      <c r="E44" s="740"/>
      <c r="F44" s="740"/>
      <c r="G44" s="740"/>
      <c r="H44" s="740"/>
      <c r="I44" s="740"/>
    </row>
    <row r="45" spans="1:9">
      <c r="B45" s="18"/>
      <c r="C45" s="82"/>
      <c r="E45" s="78"/>
    </row>
    <row r="46" spans="1:9" ht="10.8" customHeight="1">
      <c r="A46" s="740"/>
      <c r="B46" s="740"/>
      <c r="C46" s="740"/>
      <c r="D46" s="740"/>
      <c r="E46" s="740"/>
      <c r="F46" s="740"/>
      <c r="G46" s="740"/>
    </row>
    <row r="47" spans="1:9">
      <c r="A47" s="740"/>
      <c r="B47" s="740"/>
      <c r="C47" s="740"/>
      <c r="D47" s="740"/>
      <c r="E47" s="740"/>
      <c r="F47" s="740"/>
      <c r="G47" s="740"/>
    </row>
    <row r="48" spans="1:9">
      <c r="A48" s="65"/>
      <c r="B48" s="18"/>
      <c r="C48" s="82"/>
      <c r="E48" s="78"/>
    </row>
    <row r="49" spans="2:5">
      <c r="B49" s="18"/>
      <c r="C49" s="82"/>
      <c r="E49" s="78"/>
    </row>
    <row r="50" spans="2:5">
      <c r="B50" s="18"/>
      <c r="C50" s="82"/>
      <c r="E50" s="72"/>
    </row>
    <row r="51" spans="2:5">
      <c r="C51" s="82"/>
    </row>
  </sheetData>
  <mergeCells count="16">
    <mergeCell ref="A6:G7"/>
    <mergeCell ref="A46:G47"/>
    <mergeCell ref="A44:I44"/>
    <mergeCell ref="A43:I43"/>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8"/>
  <sheetViews>
    <sheetView showGridLines="0" zoomScaleNormal="100" workbookViewId="0">
      <selection activeCell="A70" sqref="A70"/>
    </sheetView>
  </sheetViews>
  <sheetFormatPr baseColWidth="10" defaultColWidth="8.5546875" defaultRowHeight="10.8"/>
  <cols>
    <col min="1" max="1" width="19.33203125" style="1" customWidth="1"/>
    <col min="2" max="2" width="10.6640625" style="1" customWidth="1"/>
    <col min="3" max="3" width="33.109375" style="1" customWidth="1"/>
    <col min="4" max="7" width="20.44140625" style="59" customWidth="1"/>
    <col min="8" max="8" width="16.88671875" style="1" customWidth="1"/>
    <col min="9" max="9" width="21.44140625" style="1" customWidth="1"/>
    <col min="10" max="10" width="24.44140625" style="1" customWidth="1"/>
    <col min="11" max="11" width="11.44140625" style="1" customWidth="1"/>
    <col min="12" max="12" width="13.44140625" style="1" customWidth="1"/>
    <col min="13" max="13" width="10.5546875" style="1" customWidth="1"/>
    <col min="14" max="14" width="11.5546875" style="1" customWidth="1"/>
    <col min="15" max="16384" width="8.5546875" style="1"/>
  </cols>
  <sheetData>
    <row r="1" spans="1:14" ht="15" customHeight="1" thickBot="1">
      <c r="A1" s="135"/>
      <c r="B1" s="286"/>
      <c r="C1" s="287"/>
      <c r="D1" s="135"/>
      <c r="E1" s="286"/>
      <c r="F1" s="286"/>
      <c r="G1" s="287"/>
      <c r="H1" s="286"/>
    </row>
    <row r="2" spans="1:14" ht="15" customHeight="1" thickBot="1">
      <c r="A2" s="135"/>
      <c r="B2" s="135"/>
      <c r="C2" s="135"/>
      <c r="D2" s="135"/>
      <c r="E2" s="135"/>
      <c r="F2" s="135"/>
      <c r="G2" s="135"/>
      <c r="H2" s="135"/>
      <c r="I2" s="288"/>
      <c r="J2" s="289"/>
    </row>
    <row r="3" spans="1:14" ht="15" customHeight="1" thickBot="1">
      <c r="A3" s="135"/>
      <c r="B3" s="135"/>
      <c r="C3" s="135"/>
      <c r="D3" s="135"/>
      <c r="E3" s="135"/>
      <c r="F3" s="135"/>
      <c r="G3" s="135"/>
      <c r="H3" s="135"/>
      <c r="I3" s="43"/>
      <c r="J3" s="290"/>
    </row>
    <row r="4" spans="1:14" ht="15" customHeight="1" thickBot="1">
      <c r="A4" s="135"/>
      <c r="B4" s="135"/>
      <c r="C4" s="135"/>
      <c r="D4" s="135"/>
      <c r="E4" s="135"/>
      <c r="F4" s="135"/>
      <c r="G4" s="135"/>
      <c r="H4" s="135"/>
      <c r="I4" s="45"/>
      <c r="J4" s="52"/>
    </row>
    <row r="5" spans="1:14" ht="15" customHeight="1" thickBot="1">
      <c r="A5" s="94"/>
      <c r="B5" s="94"/>
      <c r="C5" s="94"/>
      <c r="D5" s="94"/>
      <c r="E5" s="94"/>
      <c r="F5" s="94"/>
      <c r="G5" s="94"/>
      <c r="H5" s="94"/>
      <c r="I5" s="45"/>
      <c r="J5" s="52"/>
    </row>
    <row r="6" spans="1:14" s="61" customFormat="1" ht="26.4" thickBot="1">
      <c r="A6" s="131" t="s">
        <v>94</v>
      </c>
      <c r="B6" s="60"/>
    </row>
    <row r="7" spans="1:14" ht="7.95" customHeight="1" thickBot="1">
      <c r="A7" s="738" t="s">
        <v>240</v>
      </c>
      <c r="B7" s="738"/>
      <c r="C7" s="738"/>
      <c r="D7" s="132"/>
      <c r="E7" s="132"/>
      <c r="F7" s="132"/>
      <c r="G7" s="132"/>
      <c r="H7" s="135"/>
      <c r="I7" s="43"/>
      <c r="J7" s="43"/>
    </row>
    <row r="8" spans="1:14" ht="15" customHeight="1" thickBot="1">
      <c r="A8" s="739"/>
      <c r="B8" s="739"/>
      <c r="C8" s="739"/>
      <c r="D8" s="30"/>
      <c r="E8" s="49"/>
      <c r="F8" s="17"/>
      <c r="G8" s="16"/>
      <c r="I8" s="51"/>
      <c r="J8" s="46"/>
      <c r="K8" s="3"/>
      <c r="L8" s="4"/>
      <c r="M8" s="4"/>
    </row>
    <row r="9" spans="1:14" ht="15" customHeight="1" thickBot="1">
      <c r="A9" s="291"/>
      <c r="B9" s="292"/>
      <c r="C9" s="292"/>
      <c r="D9" s="255">
        <v>2024</v>
      </c>
      <c r="E9" s="293">
        <v>2023</v>
      </c>
      <c r="F9" s="193">
        <v>2022</v>
      </c>
      <c r="G9" s="242">
        <v>2021</v>
      </c>
      <c r="H9" s="269">
        <v>2020</v>
      </c>
      <c r="I9" s="101"/>
      <c r="J9" s="47"/>
      <c r="K9" s="7"/>
      <c r="L9" s="8"/>
      <c r="M9" s="8"/>
      <c r="N9" s="9"/>
    </row>
    <row r="10" spans="1:14" ht="11.4" thickBot="1">
      <c r="A10" s="779" t="s">
        <v>96</v>
      </c>
      <c r="B10" s="779"/>
      <c r="C10" s="779"/>
      <c r="D10" s="294">
        <v>0.92700000000000005</v>
      </c>
      <c r="E10" s="295">
        <v>0.93100000000000005</v>
      </c>
      <c r="F10" s="296">
        <v>1.052</v>
      </c>
      <c r="G10" s="296">
        <v>1.0009999999999999</v>
      </c>
      <c r="H10" s="297">
        <v>1.1819999999999999</v>
      </c>
      <c r="I10" s="102"/>
      <c r="J10" s="48"/>
      <c r="K10" s="12"/>
      <c r="L10" s="12"/>
      <c r="M10" s="12"/>
      <c r="N10" s="12"/>
    </row>
    <row r="11" spans="1:14" ht="11.4" thickBot="1">
      <c r="A11" s="298" t="s">
        <v>11</v>
      </c>
      <c r="B11" s="299"/>
      <c r="C11" s="300"/>
      <c r="D11" s="568">
        <v>0.57299999999999995</v>
      </c>
      <c r="E11" s="569">
        <v>0.63300000000000001</v>
      </c>
      <c r="F11" s="570">
        <v>0.68799999999999994</v>
      </c>
      <c r="G11" s="570">
        <v>0.72499999999999998</v>
      </c>
      <c r="H11" s="571">
        <v>0.56399999999999995</v>
      </c>
      <c r="I11" s="43"/>
      <c r="J11" s="55"/>
      <c r="K11" s="12"/>
      <c r="L11" s="12"/>
      <c r="M11" s="12"/>
      <c r="N11" s="12"/>
    </row>
    <row r="12" spans="1:14">
      <c r="A12" s="747" t="s">
        <v>95</v>
      </c>
      <c r="B12" s="778" t="s">
        <v>97</v>
      </c>
      <c r="C12" s="779"/>
      <c r="D12" s="301">
        <v>1441</v>
      </c>
      <c r="E12" s="302">
        <v>1442</v>
      </c>
      <c r="F12" s="271">
        <v>1823</v>
      </c>
      <c r="G12" s="271">
        <v>1808</v>
      </c>
      <c r="H12" s="272">
        <v>1565</v>
      </c>
      <c r="I12" s="53"/>
      <c r="J12" s="50"/>
      <c r="K12" s="14"/>
      <c r="L12" s="12"/>
      <c r="M12" s="14"/>
      <c r="N12" s="14"/>
    </row>
    <row r="13" spans="1:14">
      <c r="A13" s="748"/>
      <c r="B13" s="778" t="s">
        <v>98</v>
      </c>
      <c r="C13" s="779"/>
      <c r="D13" s="265">
        <v>1067</v>
      </c>
      <c r="E13" s="303">
        <v>777</v>
      </c>
      <c r="F13" s="271">
        <v>957</v>
      </c>
      <c r="G13" s="271">
        <v>792</v>
      </c>
      <c r="H13" s="272">
        <v>599</v>
      </c>
      <c r="I13" s="43"/>
      <c r="J13" s="55"/>
      <c r="K13" s="14"/>
      <c r="L13" s="14"/>
      <c r="M13" s="14"/>
      <c r="N13" s="14"/>
    </row>
    <row r="14" spans="1:14">
      <c r="A14" s="748"/>
      <c r="B14" s="778" t="s">
        <v>99</v>
      </c>
      <c r="C14" s="779"/>
      <c r="D14" s="301">
        <v>1573</v>
      </c>
      <c r="E14" s="304">
        <v>1593</v>
      </c>
      <c r="F14" s="271">
        <v>1238</v>
      </c>
      <c r="G14" s="271">
        <v>1250</v>
      </c>
      <c r="H14" s="272">
        <v>977</v>
      </c>
      <c r="I14" s="103"/>
      <c r="J14" s="57"/>
      <c r="K14" s="3"/>
      <c r="L14" s="4"/>
      <c r="M14" s="4"/>
    </row>
    <row r="15" spans="1:14">
      <c r="A15" s="748"/>
      <c r="B15" s="778" t="s">
        <v>100</v>
      </c>
      <c r="C15" s="779"/>
      <c r="D15" s="301">
        <v>226</v>
      </c>
      <c r="E15" s="304">
        <v>181</v>
      </c>
      <c r="F15" s="271">
        <v>194</v>
      </c>
      <c r="G15" s="271">
        <v>198</v>
      </c>
      <c r="H15" s="272">
        <v>147</v>
      </c>
      <c r="I15" s="104"/>
      <c r="J15" s="56"/>
      <c r="K15" s="3"/>
      <c r="L15" s="4"/>
      <c r="M15" s="4"/>
    </row>
    <row r="16" spans="1:14" ht="12">
      <c r="A16" s="748"/>
      <c r="B16" s="778" t="s">
        <v>101</v>
      </c>
      <c r="C16" s="779"/>
      <c r="D16" s="301">
        <v>1272</v>
      </c>
      <c r="E16" s="302">
        <v>1182</v>
      </c>
      <c r="F16" s="250">
        <v>1182</v>
      </c>
      <c r="G16" s="250">
        <v>1136</v>
      </c>
      <c r="H16" s="305">
        <v>610</v>
      </c>
      <c r="I16" s="105"/>
      <c r="J16" s="306"/>
      <c r="K16" s="7"/>
      <c r="L16" s="8"/>
      <c r="M16" s="8"/>
      <c r="N16" s="9"/>
    </row>
    <row r="17" spans="1:14">
      <c r="A17" s="748"/>
      <c r="B17" s="778" t="s">
        <v>102</v>
      </c>
      <c r="C17" s="779"/>
      <c r="D17" s="301">
        <v>7</v>
      </c>
      <c r="E17" s="302">
        <v>9</v>
      </c>
      <c r="F17" s="249">
        <v>8</v>
      </c>
      <c r="G17" s="249">
        <v>12</v>
      </c>
      <c r="H17" s="307">
        <v>9</v>
      </c>
      <c r="I17" s="43"/>
      <c r="J17" s="780"/>
    </row>
    <row r="18" spans="1:14">
      <c r="A18" s="749"/>
      <c r="B18" s="778" t="s">
        <v>34</v>
      </c>
      <c r="C18" s="779"/>
      <c r="D18" s="308">
        <f>SUM(D12:D17)</f>
        <v>5586</v>
      </c>
      <c r="E18" s="309">
        <f>SUM(E12:E17)</f>
        <v>5184</v>
      </c>
      <c r="F18" s="310">
        <f>SUM(F12:F17)</f>
        <v>5402</v>
      </c>
      <c r="G18" s="311">
        <f>SUM(G12:G17)</f>
        <v>5196</v>
      </c>
      <c r="H18" s="312">
        <f>SUM(H12:H17)</f>
        <v>3907</v>
      </c>
      <c r="I18" s="45"/>
      <c r="J18" s="781"/>
    </row>
    <row r="19" spans="1:14" ht="15" customHeight="1">
      <c r="A19" s="90"/>
      <c r="B19" s="90"/>
      <c r="C19" s="90"/>
      <c r="D19" s="11"/>
      <c r="E19" s="11"/>
      <c r="F19" s="99"/>
      <c r="G19" s="11"/>
      <c r="H19" s="11"/>
      <c r="I19" s="53"/>
      <c r="J19" s="313"/>
    </row>
    <row r="20" spans="1:14" ht="15" customHeight="1">
      <c r="A20" s="90"/>
      <c r="B20" s="90"/>
      <c r="C20" s="90"/>
      <c r="D20" s="90"/>
      <c r="E20" s="21"/>
      <c r="F20" s="21"/>
      <c r="G20" s="29"/>
      <c r="H20" s="18"/>
      <c r="I20" s="54"/>
      <c r="J20" s="313"/>
    </row>
    <row r="21" spans="1:14" ht="9.6" customHeight="1">
      <c r="A21" s="738" t="s">
        <v>103</v>
      </c>
      <c r="B21" s="738"/>
      <c r="C21" s="738"/>
      <c r="D21" s="90"/>
      <c r="E21" s="770"/>
      <c r="F21" s="770"/>
      <c r="G21" s="770"/>
      <c r="H21" s="770"/>
      <c r="I21" s="770"/>
      <c r="J21" s="771"/>
    </row>
    <row r="22" spans="1:14" ht="13.2" customHeight="1" thickBot="1">
      <c r="A22" s="739"/>
      <c r="B22" s="739"/>
      <c r="C22" s="739"/>
      <c r="D22" s="30"/>
      <c r="E22" s="772"/>
      <c r="F22" s="772"/>
      <c r="G22" s="772"/>
      <c r="H22" s="772"/>
      <c r="I22" s="772"/>
      <c r="J22" s="773"/>
      <c r="K22" s="21"/>
      <c r="L22" s="21"/>
      <c r="M22" s="4"/>
    </row>
    <row r="23" spans="1:14" ht="15" customHeight="1">
      <c r="A23" s="314"/>
      <c r="B23" s="292"/>
      <c r="C23" s="292"/>
      <c r="D23" s="175" t="s">
        <v>64</v>
      </c>
      <c r="E23" s="772"/>
      <c r="F23" s="772"/>
      <c r="G23" s="772"/>
      <c r="H23" s="772"/>
      <c r="I23" s="772"/>
      <c r="J23" s="773"/>
      <c r="K23" s="21"/>
      <c r="L23" s="21"/>
      <c r="M23" s="8"/>
      <c r="N23" s="9"/>
    </row>
    <row r="24" spans="1:14">
      <c r="A24" s="747" t="s">
        <v>104</v>
      </c>
      <c r="B24" s="764" t="s">
        <v>105</v>
      </c>
      <c r="C24" s="275" t="s">
        <v>106</v>
      </c>
      <c r="D24" s="315" t="s">
        <v>9</v>
      </c>
      <c r="E24" s="772"/>
      <c r="F24" s="772"/>
      <c r="G24" s="772"/>
      <c r="H24" s="772"/>
      <c r="I24" s="772"/>
      <c r="J24" s="773"/>
      <c r="K24" s="21"/>
      <c r="L24" s="21"/>
    </row>
    <row r="25" spans="1:14">
      <c r="A25" s="748"/>
      <c r="B25" s="765"/>
      <c r="C25" s="248" t="s">
        <v>108</v>
      </c>
      <c r="D25" s="315" t="s">
        <v>9</v>
      </c>
      <c r="E25" s="772"/>
      <c r="F25" s="772"/>
      <c r="G25" s="772"/>
      <c r="H25" s="772"/>
      <c r="I25" s="772"/>
      <c r="J25" s="773"/>
      <c r="K25" s="21"/>
      <c r="L25" s="21"/>
    </row>
    <row r="26" spans="1:14">
      <c r="A26" s="748"/>
      <c r="B26" s="766"/>
      <c r="C26" s="275" t="s">
        <v>34</v>
      </c>
      <c r="D26" s="315" t="s">
        <v>9</v>
      </c>
      <c r="E26" s="772"/>
      <c r="F26" s="772"/>
      <c r="G26" s="772"/>
      <c r="H26" s="772"/>
      <c r="I26" s="772"/>
      <c r="J26" s="773"/>
      <c r="K26" s="21"/>
      <c r="L26" s="21"/>
    </row>
    <row r="27" spans="1:14">
      <c r="A27" s="748"/>
      <c r="B27" s="767" t="s">
        <v>107</v>
      </c>
      <c r="C27" s="275" t="s">
        <v>106</v>
      </c>
      <c r="D27" s="315" t="s">
        <v>9</v>
      </c>
      <c r="E27" s="772"/>
      <c r="F27" s="772"/>
      <c r="G27" s="772"/>
      <c r="H27" s="772"/>
      <c r="I27" s="772"/>
      <c r="J27" s="773"/>
      <c r="K27" s="21"/>
      <c r="L27" s="21"/>
    </row>
    <row r="28" spans="1:14">
      <c r="A28" s="748"/>
      <c r="B28" s="768"/>
      <c r="C28" s="248" t="s">
        <v>108</v>
      </c>
      <c r="D28" s="315" t="s">
        <v>9</v>
      </c>
      <c r="E28" s="772"/>
      <c r="F28" s="772"/>
      <c r="G28" s="772"/>
      <c r="H28" s="772"/>
      <c r="I28" s="772"/>
      <c r="J28" s="773"/>
      <c r="K28" s="21"/>
      <c r="L28" s="21"/>
    </row>
    <row r="29" spans="1:14">
      <c r="A29" s="749"/>
      <c r="B29" s="769"/>
      <c r="C29" s="275" t="s">
        <v>34</v>
      </c>
      <c r="D29" s="315" t="s">
        <v>9</v>
      </c>
      <c r="E29" s="772"/>
      <c r="F29" s="772"/>
      <c r="G29" s="772"/>
      <c r="H29" s="772"/>
      <c r="I29" s="772"/>
      <c r="J29" s="773"/>
      <c r="K29" s="21"/>
      <c r="L29" s="21"/>
    </row>
    <row r="30" spans="1:14">
      <c r="A30" s="747" t="s">
        <v>266</v>
      </c>
      <c r="B30" s="764" t="s">
        <v>105</v>
      </c>
      <c r="C30" s="275" t="s">
        <v>106</v>
      </c>
      <c r="D30" s="315">
        <v>122</v>
      </c>
      <c r="E30" s="772"/>
      <c r="F30" s="772"/>
      <c r="G30" s="772"/>
      <c r="H30" s="772"/>
      <c r="I30" s="772"/>
      <c r="J30" s="773"/>
      <c r="K30" s="21"/>
      <c r="L30" s="21"/>
    </row>
    <row r="31" spans="1:14">
      <c r="A31" s="748"/>
      <c r="B31" s="765"/>
      <c r="C31" s="248" t="s">
        <v>108</v>
      </c>
      <c r="D31" s="315" t="s">
        <v>9</v>
      </c>
      <c r="E31" s="772"/>
      <c r="F31" s="772"/>
      <c r="G31" s="772"/>
      <c r="H31" s="772"/>
      <c r="I31" s="772"/>
      <c r="J31" s="773"/>
      <c r="K31" s="21"/>
      <c r="L31" s="21"/>
    </row>
    <row r="32" spans="1:14">
      <c r="A32" s="748"/>
      <c r="B32" s="766"/>
      <c r="C32" s="275" t="s">
        <v>34</v>
      </c>
      <c r="D32" s="315">
        <v>122</v>
      </c>
      <c r="E32" s="772"/>
      <c r="F32" s="772"/>
      <c r="G32" s="772"/>
      <c r="H32" s="772"/>
      <c r="I32" s="772"/>
      <c r="J32" s="773"/>
      <c r="K32" s="21"/>
      <c r="L32" s="21"/>
    </row>
    <row r="33" spans="1:108">
      <c r="A33" s="748"/>
      <c r="B33" s="767" t="s">
        <v>107</v>
      </c>
      <c r="C33" s="275" t="s">
        <v>106</v>
      </c>
      <c r="D33" s="315" t="s">
        <v>9</v>
      </c>
      <c r="E33" s="772"/>
      <c r="F33" s="772"/>
      <c r="G33" s="772"/>
      <c r="H33" s="772"/>
      <c r="I33" s="772"/>
      <c r="J33" s="773"/>
      <c r="K33" s="21"/>
      <c r="L33" s="21"/>
    </row>
    <row r="34" spans="1:108">
      <c r="A34" s="748"/>
      <c r="B34" s="768"/>
      <c r="C34" s="248" t="s">
        <v>108</v>
      </c>
      <c r="D34" s="315">
        <v>3147</v>
      </c>
      <c r="E34" s="772"/>
      <c r="F34" s="772"/>
      <c r="G34" s="772"/>
      <c r="H34" s="772"/>
      <c r="I34" s="772"/>
      <c r="J34" s="773"/>
      <c r="K34" s="21"/>
      <c r="L34" s="21"/>
    </row>
    <row r="35" spans="1:108">
      <c r="A35" s="749"/>
      <c r="B35" s="769"/>
      <c r="C35" s="275" t="s">
        <v>34</v>
      </c>
      <c r="D35" s="317">
        <v>3147</v>
      </c>
      <c r="E35" s="772"/>
      <c r="F35" s="772"/>
      <c r="G35" s="772"/>
      <c r="H35" s="772"/>
      <c r="I35" s="772"/>
      <c r="J35" s="773"/>
      <c r="K35" s="21"/>
      <c r="L35" s="21"/>
    </row>
    <row r="36" spans="1:108" ht="15" customHeight="1">
      <c r="A36" s="318"/>
      <c r="B36" s="316"/>
      <c r="C36" s="319"/>
      <c r="D36" s="320"/>
      <c r="E36" s="774"/>
      <c r="F36" s="772"/>
      <c r="G36" s="772"/>
      <c r="H36" s="772"/>
      <c r="I36" s="772"/>
      <c r="J36" s="77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38" t="s">
        <v>267</v>
      </c>
      <c r="B37" s="738"/>
      <c r="C37" s="738"/>
      <c r="D37" s="322"/>
      <c r="E37" s="772"/>
      <c r="F37" s="772"/>
      <c r="G37" s="772"/>
      <c r="H37" s="772"/>
      <c r="I37" s="772"/>
      <c r="J37" s="773"/>
    </row>
    <row r="38" spans="1:108" ht="12.6" customHeight="1" thickBot="1">
      <c r="A38" s="739"/>
      <c r="B38" s="739"/>
      <c r="C38" s="739"/>
      <c r="D38" s="323"/>
      <c r="E38" s="775"/>
      <c r="F38" s="776"/>
      <c r="G38" s="776"/>
      <c r="H38" s="776"/>
      <c r="I38" s="776"/>
      <c r="J38" s="777"/>
      <c r="K38" s="21"/>
      <c r="L38" s="4"/>
      <c r="M38" s="4"/>
    </row>
    <row r="39" spans="1:108" ht="15" customHeight="1">
      <c r="A39" s="291"/>
      <c r="B39" s="292"/>
      <c r="C39" s="292"/>
      <c r="D39" s="175" t="s">
        <v>64</v>
      </c>
      <c r="E39" s="324"/>
      <c r="F39" s="324"/>
      <c r="G39" s="324"/>
      <c r="H39" s="324"/>
      <c r="I39" s="324"/>
      <c r="J39" s="288"/>
      <c r="K39" s="21"/>
      <c r="L39" s="8"/>
      <c r="M39" s="8"/>
      <c r="N39" s="9"/>
    </row>
    <row r="40" spans="1:108">
      <c r="A40" s="747" t="s">
        <v>109</v>
      </c>
      <c r="B40" s="767" t="s">
        <v>105</v>
      </c>
      <c r="C40" s="275" t="s">
        <v>110</v>
      </c>
      <c r="D40" s="315" t="s">
        <v>9</v>
      </c>
      <c r="E40" s="1"/>
      <c r="F40" s="1"/>
      <c r="G40" s="1"/>
      <c r="J40" s="53"/>
      <c r="K40" s="21"/>
      <c r="L40" s="21"/>
    </row>
    <row r="41" spans="1:108" ht="21.6">
      <c r="A41" s="748"/>
      <c r="B41" s="768"/>
      <c r="C41" s="275" t="s">
        <v>111</v>
      </c>
      <c r="D41" s="315" t="s">
        <v>9</v>
      </c>
      <c r="E41" s="1"/>
      <c r="F41" s="1"/>
      <c r="G41" s="1"/>
      <c r="J41" s="53"/>
      <c r="K41" s="21"/>
      <c r="L41" s="21"/>
    </row>
    <row r="42" spans="1:108">
      <c r="A42" s="748"/>
      <c r="B42" s="768"/>
      <c r="C42" s="275" t="s">
        <v>112</v>
      </c>
      <c r="D42" s="315" t="s">
        <v>9</v>
      </c>
      <c r="E42" s="1"/>
      <c r="F42" s="1"/>
      <c r="G42" s="1"/>
      <c r="J42" s="53"/>
      <c r="K42" s="21"/>
      <c r="L42" s="21"/>
    </row>
    <row r="43" spans="1:108">
      <c r="A43" s="748"/>
      <c r="B43" s="768"/>
      <c r="C43" s="275" t="s">
        <v>113</v>
      </c>
      <c r="D43" s="315" t="s">
        <v>9</v>
      </c>
      <c r="E43" s="1"/>
      <c r="F43" s="1"/>
      <c r="G43" s="1"/>
      <c r="J43" s="53"/>
      <c r="K43" s="21"/>
      <c r="L43" s="21"/>
    </row>
    <row r="44" spans="1:108">
      <c r="A44" s="748"/>
      <c r="B44" s="769"/>
      <c r="C44" s="451" t="s">
        <v>34</v>
      </c>
      <c r="D44" s="315" t="s">
        <v>9</v>
      </c>
      <c r="E44" s="1"/>
      <c r="F44" s="1"/>
      <c r="G44" s="1"/>
      <c r="J44" s="53"/>
      <c r="K44" s="21"/>
      <c r="L44" s="21"/>
    </row>
    <row r="45" spans="1:108">
      <c r="A45" s="748"/>
      <c r="B45" s="767" t="s">
        <v>107</v>
      </c>
      <c r="C45" s="275" t="s">
        <v>110</v>
      </c>
      <c r="D45" s="315" t="s">
        <v>9</v>
      </c>
      <c r="E45" s="1"/>
      <c r="F45" s="1"/>
      <c r="G45" s="1"/>
      <c r="J45" s="53"/>
      <c r="K45" s="21"/>
      <c r="L45" s="21"/>
    </row>
    <row r="46" spans="1:108" ht="21.6">
      <c r="A46" s="748"/>
      <c r="B46" s="768"/>
      <c r="C46" s="275" t="s">
        <v>111</v>
      </c>
      <c r="D46" s="315" t="s">
        <v>9</v>
      </c>
      <c r="E46" s="1"/>
      <c r="F46" s="1"/>
      <c r="G46" s="1"/>
      <c r="J46" s="53"/>
      <c r="K46" s="21"/>
      <c r="L46" s="21"/>
    </row>
    <row r="47" spans="1:108">
      <c r="A47" s="748"/>
      <c r="B47" s="768"/>
      <c r="C47" s="275" t="s">
        <v>112</v>
      </c>
      <c r="D47" s="315">
        <v>1090</v>
      </c>
      <c r="E47" s="1"/>
      <c r="F47" s="1"/>
      <c r="G47" s="1"/>
      <c r="J47" s="53"/>
      <c r="K47" s="21"/>
      <c r="L47" s="21"/>
    </row>
    <row r="48" spans="1:108">
      <c r="A48" s="748"/>
      <c r="B48" s="768"/>
      <c r="C48" s="275" t="s">
        <v>113</v>
      </c>
      <c r="D48" s="315" t="s">
        <v>9</v>
      </c>
      <c r="E48" s="1"/>
      <c r="F48" s="1"/>
      <c r="G48" s="1"/>
      <c r="J48" s="53"/>
      <c r="K48" s="21"/>
      <c r="L48" s="21"/>
    </row>
    <row r="49" spans="1:12">
      <c r="A49" s="748"/>
      <c r="B49" s="769"/>
      <c r="C49" s="451" t="s">
        <v>34</v>
      </c>
      <c r="D49" s="315">
        <v>1090</v>
      </c>
      <c r="E49" s="1"/>
      <c r="F49" s="1"/>
      <c r="G49" s="1"/>
      <c r="J49" s="53"/>
      <c r="K49" s="21"/>
      <c r="L49" s="21"/>
    </row>
    <row r="50" spans="1:12">
      <c r="A50" s="747" t="s">
        <v>268</v>
      </c>
      <c r="B50" s="767" t="s">
        <v>105</v>
      </c>
      <c r="C50" s="275" t="s">
        <v>110</v>
      </c>
      <c r="D50" s="315" t="s">
        <v>9</v>
      </c>
      <c r="E50" s="1"/>
      <c r="F50" s="1"/>
      <c r="G50" s="1"/>
      <c r="J50" s="53"/>
      <c r="K50" s="21"/>
      <c r="L50" s="21"/>
    </row>
    <row r="51" spans="1:12" ht="21.6">
      <c r="A51" s="748"/>
      <c r="B51" s="768"/>
      <c r="C51" s="275" t="s">
        <v>111</v>
      </c>
      <c r="D51" s="315" t="s">
        <v>9</v>
      </c>
      <c r="E51" s="1"/>
      <c r="F51" s="1"/>
      <c r="G51" s="1"/>
      <c r="J51" s="53"/>
      <c r="K51" s="21"/>
      <c r="L51" s="21"/>
    </row>
    <row r="52" spans="1:12">
      <c r="A52" s="748"/>
      <c r="B52" s="768"/>
      <c r="C52" s="275" t="s">
        <v>112</v>
      </c>
      <c r="D52" s="315">
        <v>1441</v>
      </c>
      <c r="E52" s="1"/>
      <c r="F52" s="1"/>
      <c r="G52" s="1"/>
      <c r="J52" s="53"/>
      <c r="K52" s="21"/>
      <c r="L52" s="21"/>
    </row>
    <row r="53" spans="1:12">
      <c r="A53" s="748"/>
      <c r="B53" s="768"/>
      <c r="C53" s="275" t="s">
        <v>113</v>
      </c>
      <c r="D53" s="315" t="s">
        <v>9</v>
      </c>
      <c r="E53" s="1"/>
      <c r="F53" s="1"/>
      <c r="G53" s="1"/>
      <c r="J53" s="53"/>
      <c r="K53" s="21"/>
      <c r="L53" s="21"/>
    </row>
    <row r="54" spans="1:12">
      <c r="A54" s="748"/>
      <c r="B54" s="769"/>
      <c r="C54" s="451" t="s">
        <v>34</v>
      </c>
      <c r="D54" s="315">
        <v>1441</v>
      </c>
      <c r="E54" s="1"/>
      <c r="F54" s="1"/>
      <c r="G54" s="1"/>
      <c r="J54" s="53"/>
      <c r="K54" s="21"/>
      <c r="L54" s="21"/>
    </row>
    <row r="55" spans="1:12">
      <c r="A55" s="748"/>
      <c r="B55" s="767" t="s">
        <v>107</v>
      </c>
      <c r="C55" s="275" t="s">
        <v>110</v>
      </c>
      <c r="D55" s="315" t="s">
        <v>9</v>
      </c>
      <c r="E55" s="1"/>
      <c r="F55" s="1"/>
      <c r="G55" s="1"/>
      <c r="J55" s="53"/>
      <c r="K55" s="21"/>
      <c r="L55" s="21"/>
    </row>
    <row r="56" spans="1:12" ht="21.6">
      <c r="A56" s="748"/>
      <c r="B56" s="768"/>
      <c r="C56" s="275" t="s">
        <v>111</v>
      </c>
      <c r="D56" s="315" t="s">
        <v>9</v>
      </c>
      <c r="E56" s="238"/>
      <c r="F56" s="238"/>
      <c r="G56" s="238"/>
      <c r="H56" s="238"/>
      <c r="I56" s="238"/>
      <c r="J56" s="54"/>
      <c r="K56" s="21"/>
    </row>
    <row r="57" spans="1:12">
      <c r="A57" s="748"/>
      <c r="B57" s="768"/>
      <c r="C57" s="275" t="s">
        <v>112</v>
      </c>
      <c r="D57" s="315">
        <v>1154</v>
      </c>
      <c r="E57" s="325"/>
      <c r="F57" s="326"/>
      <c r="G57" s="325"/>
      <c r="H57" s="325"/>
      <c r="I57" s="326"/>
      <c r="J57" s="325"/>
      <c r="K57" s="21"/>
    </row>
    <row r="58" spans="1:12" ht="11.4" thickBot="1">
      <c r="A58" s="748"/>
      <c r="B58" s="768"/>
      <c r="C58" s="327" t="s">
        <v>113</v>
      </c>
      <c r="D58" s="315" t="s">
        <v>9</v>
      </c>
      <c r="E58" s="328"/>
      <c r="F58" s="329"/>
      <c r="G58" s="330"/>
      <c r="H58" s="325"/>
      <c r="I58" s="326"/>
      <c r="J58" s="325"/>
      <c r="K58" s="21"/>
    </row>
    <row r="59" spans="1:12" ht="11.4" thickBot="1">
      <c r="A59" s="749"/>
      <c r="B59" s="769"/>
      <c r="C59" s="589" t="s">
        <v>34</v>
      </c>
      <c r="D59" s="331">
        <v>1154</v>
      </c>
      <c r="E59" s="43"/>
      <c r="F59" s="290"/>
      <c r="G59" s="43"/>
      <c r="H59" s="330"/>
      <c r="I59" s="332"/>
      <c r="J59" s="330"/>
      <c r="K59" s="21"/>
    </row>
    <row r="60" spans="1:12" ht="15" customHeight="1" thickBot="1">
      <c r="A60" s="333"/>
      <c r="B60" s="334"/>
      <c r="C60" s="321"/>
      <c r="D60" s="322"/>
      <c r="E60" s="1"/>
      <c r="F60" s="1"/>
      <c r="G60" s="1"/>
      <c r="H60" s="53"/>
      <c r="I60" s="335"/>
      <c r="J60" s="45"/>
      <c r="K60" s="14"/>
    </row>
    <row r="61" spans="1:12" ht="15" customHeight="1">
      <c r="A61" s="738" t="s">
        <v>114</v>
      </c>
      <c r="B61" s="738"/>
      <c r="C61" s="321"/>
      <c r="D61" s="322"/>
      <c r="E61" s="1"/>
      <c r="F61" s="1"/>
      <c r="G61" s="1"/>
      <c r="I61" s="335"/>
      <c r="J61" s="45"/>
      <c r="K61" s="14"/>
    </row>
    <row r="62" spans="1:12" ht="15" customHeight="1">
      <c r="A62" s="739"/>
      <c r="B62" s="739"/>
      <c r="C62" s="336"/>
      <c r="D62" s="336"/>
      <c r="E62" s="336"/>
      <c r="F62" s="336"/>
      <c r="G62" s="337"/>
      <c r="I62" s="158"/>
      <c r="J62" s="45"/>
    </row>
    <row r="63" spans="1:12" ht="15" customHeight="1">
      <c r="A63" s="338"/>
      <c r="B63" s="339"/>
      <c r="C63" s="340"/>
      <c r="D63" s="341" t="s">
        <v>64</v>
      </c>
      <c r="E63" s="342" t="s">
        <v>39</v>
      </c>
      <c r="F63" s="343" t="s">
        <v>85</v>
      </c>
      <c r="G63" s="344" t="s">
        <v>66</v>
      </c>
      <c r="I63" s="18"/>
    </row>
    <row r="64" spans="1:12" ht="15" customHeight="1">
      <c r="A64" s="747" t="s">
        <v>115</v>
      </c>
      <c r="B64" s="762" t="s">
        <v>116</v>
      </c>
      <c r="C64" s="763"/>
      <c r="D64" s="345">
        <v>1.512</v>
      </c>
      <c r="E64" s="346">
        <v>1.512</v>
      </c>
      <c r="F64" s="347">
        <v>0.86899999999999999</v>
      </c>
      <c r="G64" s="348">
        <v>5.8970000000000002</v>
      </c>
      <c r="I64" s="18"/>
    </row>
    <row r="65" spans="1:9" ht="15" customHeight="1">
      <c r="A65" s="748"/>
      <c r="B65" s="762" t="s">
        <v>117</v>
      </c>
      <c r="C65" s="763"/>
      <c r="D65" s="345">
        <v>0.54100000000000004</v>
      </c>
      <c r="E65" s="346">
        <v>0.54100000000000004</v>
      </c>
      <c r="F65" s="347" t="s">
        <v>9</v>
      </c>
      <c r="G65" s="348" t="s">
        <v>9</v>
      </c>
      <c r="I65" s="18"/>
    </row>
    <row r="66" spans="1:9" ht="15" customHeight="1">
      <c r="A66" s="748"/>
      <c r="B66" s="762" t="s">
        <v>118</v>
      </c>
      <c r="C66" s="763"/>
      <c r="D66" s="345">
        <v>0.28799999999999998</v>
      </c>
      <c r="E66" s="346">
        <v>0.28799999999999998</v>
      </c>
      <c r="F66" s="347">
        <v>0.29099999999999998</v>
      </c>
      <c r="G66" s="348">
        <v>3.0000000000000001E-3</v>
      </c>
      <c r="I66" s="18"/>
    </row>
    <row r="67" spans="1:9" ht="15" customHeight="1">
      <c r="A67" s="748"/>
      <c r="B67" s="762" t="s">
        <v>119</v>
      </c>
      <c r="C67" s="763"/>
      <c r="D67" s="345">
        <v>1.198</v>
      </c>
      <c r="E67" s="346">
        <v>1.198</v>
      </c>
      <c r="F67" s="347">
        <v>0.58099999999999996</v>
      </c>
      <c r="G67" s="348">
        <v>1.7330000000000001</v>
      </c>
      <c r="I67" s="18"/>
    </row>
    <row r="68" spans="1:9" ht="15" customHeight="1">
      <c r="A68" s="749"/>
      <c r="B68" s="762" t="s">
        <v>120</v>
      </c>
      <c r="C68" s="763"/>
      <c r="D68" s="345">
        <v>0.17899999999999999</v>
      </c>
      <c r="E68" s="346">
        <v>0.17899999999999999</v>
      </c>
      <c r="F68" s="347">
        <v>0.11</v>
      </c>
      <c r="G68" s="348" t="s">
        <v>9</v>
      </c>
      <c r="I68" s="18"/>
    </row>
    <row r="69" spans="1:9" ht="15" customHeight="1">
      <c r="A69" s="202"/>
      <c r="B69" s="202"/>
      <c r="C69" s="202"/>
      <c r="D69" s="202"/>
      <c r="E69" s="202"/>
      <c r="F69" s="202"/>
      <c r="G69" s="349"/>
      <c r="I69" s="18"/>
    </row>
    <row r="70" spans="1:9" ht="15" customHeight="1">
      <c r="A70" s="1" t="s">
        <v>315</v>
      </c>
      <c r="I70" s="239"/>
    </row>
    <row r="71" spans="1:9">
      <c r="A71" s="65" t="s">
        <v>314</v>
      </c>
      <c r="I71" s="239"/>
    </row>
    <row r="72" spans="1:9">
      <c r="A72" s="65"/>
      <c r="I72" s="239"/>
    </row>
    <row r="73" spans="1:9">
      <c r="A73" s="65"/>
      <c r="I73" s="239"/>
    </row>
    <row r="74" spans="1:9">
      <c r="A74" s="230"/>
      <c r="I74" s="239"/>
    </row>
    <row r="75" spans="1:9">
      <c r="A75" s="230"/>
      <c r="I75" s="239"/>
    </row>
    <row r="76" spans="1:9">
      <c r="A76" s="230"/>
      <c r="I76" s="195"/>
    </row>
    <row r="77" spans="1:9">
      <c r="A77" s="230"/>
    </row>
    <row r="78" spans="1:9">
      <c r="A78" s="230"/>
    </row>
  </sheetData>
  <mergeCells count="33">
    <mergeCell ref="J17:J18"/>
    <mergeCell ref="B12:C12"/>
    <mergeCell ref="B13:C13"/>
    <mergeCell ref="B14:C14"/>
    <mergeCell ref="B15:C15"/>
    <mergeCell ref="A7:C8"/>
    <mergeCell ref="A21:C22"/>
    <mergeCell ref="A37:C38"/>
    <mergeCell ref="A30:A35"/>
    <mergeCell ref="A24:A29"/>
    <mergeCell ref="B16:C16"/>
    <mergeCell ref="B17:C17"/>
    <mergeCell ref="B18:C18"/>
    <mergeCell ref="A12:A18"/>
    <mergeCell ref="A10:C10"/>
    <mergeCell ref="E21:J38"/>
    <mergeCell ref="B45:B49"/>
    <mergeCell ref="B50:B54"/>
    <mergeCell ref="B55:B59"/>
    <mergeCell ref="B64:C64"/>
    <mergeCell ref="A64:A68"/>
    <mergeCell ref="B67:C67"/>
    <mergeCell ref="B24:B26"/>
    <mergeCell ref="B27:B29"/>
    <mergeCell ref="B30:B32"/>
    <mergeCell ref="B33:B35"/>
    <mergeCell ref="B40:B44"/>
    <mergeCell ref="A61:B62"/>
    <mergeCell ref="B68:C68"/>
    <mergeCell ref="B65:C65"/>
    <mergeCell ref="B66:C66"/>
    <mergeCell ref="A40:A49"/>
    <mergeCell ref="A50:A59"/>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A32" sqref="A32"/>
    </sheetView>
  </sheetViews>
  <sheetFormatPr baseColWidth="10" defaultColWidth="8.5546875" defaultRowHeight="10.8"/>
  <cols>
    <col min="1" max="1" width="28.88671875" style="1" customWidth="1"/>
    <col min="2" max="2" width="18.6640625" style="1" customWidth="1"/>
    <col min="3" max="3" width="9.6640625" style="59" customWidth="1"/>
    <col min="4" max="4" width="9.88671875" style="59" customWidth="1"/>
    <col min="5" max="5" width="11.88671875" style="59" customWidth="1"/>
    <col min="6" max="6" width="10.5546875" style="59" customWidth="1"/>
    <col min="7" max="7" width="8.44140625" style="1" customWidth="1"/>
    <col min="8" max="8" width="7.44140625" style="1" customWidth="1"/>
    <col min="9" max="9" width="8.109375" style="1" customWidth="1"/>
    <col min="10" max="10" width="39.33203125" style="1" customWidth="1"/>
    <col min="11" max="11" width="13.44140625" style="1" customWidth="1"/>
    <col min="12" max="12" width="10.5546875" style="1" customWidth="1"/>
    <col min="13" max="13" width="11.5546875" style="1" customWidth="1"/>
    <col min="14" max="16384" width="8.5546875" style="1"/>
  </cols>
  <sheetData>
    <row r="1" spans="1:13" ht="15" customHeight="1"/>
    <row r="2" spans="1:13" ht="15" customHeight="1"/>
    <row r="3" spans="1:13" ht="24.75" customHeight="1"/>
    <row r="4" spans="1:13" ht="15" customHeight="1">
      <c r="A4" s="94"/>
      <c r="B4" s="94"/>
      <c r="C4" s="94"/>
      <c r="D4" s="94"/>
      <c r="E4" s="94"/>
      <c r="F4" s="94"/>
      <c r="G4" s="94"/>
      <c r="H4" s="94"/>
      <c r="I4" s="94"/>
    </row>
    <row r="5" spans="1:13" s="61" customFormat="1" ht="15" customHeight="1">
      <c r="A5" s="783" t="s">
        <v>121</v>
      </c>
      <c r="B5" s="60"/>
    </row>
    <row r="6" spans="1:13" ht="15" customHeight="1" thickBot="1">
      <c r="A6" s="783"/>
      <c r="B6" s="100"/>
      <c r="C6" s="108"/>
      <c r="D6" s="27"/>
      <c r="E6" s="106"/>
      <c r="F6" s="107"/>
      <c r="G6" s="18"/>
      <c r="H6" s="2"/>
      <c r="I6" s="3"/>
      <c r="J6" s="4"/>
      <c r="K6" s="4"/>
      <c r="L6" s="4"/>
    </row>
    <row r="7" spans="1:13" ht="15" customHeight="1" thickBot="1">
      <c r="A7" s="738" t="s">
        <v>122</v>
      </c>
      <c r="B7" s="738"/>
      <c r="C7" s="135"/>
      <c r="D7" s="132"/>
      <c r="E7" s="132"/>
      <c r="F7" s="132"/>
      <c r="G7" s="132"/>
      <c r="H7" s="135"/>
      <c r="I7" s="43"/>
    </row>
    <row r="8" spans="1:13" ht="15" customHeight="1" thickBot="1">
      <c r="A8" s="739"/>
      <c r="B8" s="739"/>
      <c r="C8" s="22"/>
      <c r="D8" s="30"/>
      <c r="E8" s="30"/>
      <c r="F8" s="109"/>
      <c r="G8" s="17"/>
      <c r="I8" s="51"/>
      <c r="J8" s="3"/>
      <c r="K8" s="4"/>
      <c r="L8" s="4"/>
    </row>
    <row r="9" spans="1:13" ht="15" customHeight="1">
      <c r="A9" s="350"/>
      <c r="B9" s="292"/>
      <c r="C9" s="351" t="s">
        <v>39</v>
      </c>
      <c r="D9" s="262" t="s">
        <v>65</v>
      </c>
      <c r="E9" s="143" t="s">
        <v>66</v>
      </c>
      <c r="F9" s="193" t="s">
        <v>123</v>
      </c>
      <c r="G9" s="242" t="s">
        <v>124</v>
      </c>
      <c r="H9" s="242" t="s">
        <v>87</v>
      </c>
      <c r="I9" s="269" t="s">
        <v>89</v>
      </c>
      <c r="J9" s="8"/>
      <c r="K9" s="8"/>
      <c r="L9" s="8"/>
      <c r="M9" s="9"/>
    </row>
    <row r="10" spans="1:13" ht="20.399999999999999" customHeight="1">
      <c r="A10" s="779" t="s">
        <v>126</v>
      </c>
      <c r="B10" s="782"/>
      <c r="C10" s="352">
        <v>19</v>
      </c>
      <c r="D10" s="249">
        <v>60</v>
      </c>
      <c r="E10" s="271">
        <v>584</v>
      </c>
      <c r="F10" s="271">
        <v>21</v>
      </c>
      <c r="G10" s="271">
        <v>23</v>
      </c>
      <c r="H10" s="271">
        <v>20</v>
      </c>
      <c r="I10" s="272">
        <v>1</v>
      </c>
      <c r="J10" s="12"/>
      <c r="K10" s="12"/>
      <c r="L10" s="12"/>
      <c r="M10" s="12"/>
    </row>
    <row r="11" spans="1:13" ht="15" customHeight="1">
      <c r="A11" s="747" t="s">
        <v>127</v>
      </c>
      <c r="B11" s="353" t="s">
        <v>128</v>
      </c>
      <c r="C11" s="354">
        <v>140</v>
      </c>
      <c r="D11" s="271" t="s">
        <v>9</v>
      </c>
      <c r="E11" s="271">
        <v>191</v>
      </c>
      <c r="F11" s="271">
        <v>66</v>
      </c>
      <c r="G11" s="271">
        <v>35</v>
      </c>
      <c r="H11" s="271" t="s">
        <v>9</v>
      </c>
      <c r="I11" s="272">
        <v>143</v>
      </c>
      <c r="J11" s="12"/>
      <c r="K11" s="12"/>
      <c r="L11" s="12"/>
      <c r="M11" s="12"/>
    </row>
    <row r="12" spans="1:13" ht="15" customHeight="1">
      <c r="A12" s="748"/>
      <c r="B12" s="355" t="s">
        <v>129</v>
      </c>
      <c r="C12" s="354">
        <v>79</v>
      </c>
      <c r="D12" s="271" t="s">
        <v>9</v>
      </c>
      <c r="E12" s="271" t="s">
        <v>9</v>
      </c>
      <c r="F12" s="271">
        <v>60</v>
      </c>
      <c r="G12" s="271">
        <v>35</v>
      </c>
      <c r="H12" s="271" t="s">
        <v>9</v>
      </c>
      <c r="I12" s="272">
        <v>96</v>
      </c>
      <c r="J12" s="12"/>
      <c r="K12" s="12"/>
      <c r="L12" s="12"/>
      <c r="M12" s="12"/>
    </row>
    <row r="13" spans="1:13" ht="15" customHeight="1">
      <c r="A13" s="748"/>
      <c r="B13" s="355" t="s">
        <v>130</v>
      </c>
      <c r="C13" s="354">
        <v>125</v>
      </c>
      <c r="D13" s="271" t="s">
        <v>9</v>
      </c>
      <c r="E13" s="271" t="s">
        <v>9</v>
      </c>
      <c r="F13" s="271">
        <v>111</v>
      </c>
      <c r="G13" s="271">
        <v>13</v>
      </c>
      <c r="H13" s="271" t="s">
        <v>9</v>
      </c>
      <c r="I13" s="272">
        <v>39</v>
      </c>
      <c r="J13" s="12"/>
      <c r="K13" s="12"/>
      <c r="L13" s="12"/>
      <c r="M13" s="12"/>
    </row>
    <row r="14" spans="1:13" ht="15" customHeight="1">
      <c r="A14" s="749"/>
      <c r="B14" s="353" t="s">
        <v>131</v>
      </c>
      <c r="C14" s="245">
        <v>127</v>
      </c>
      <c r="D14" s="250" t="s">
        <v>9</v>
      </c>
      <c r="E14" s="250">
        <v>309</v>
      </c>
      <c r="F14" s="250">
        <v>104</v>
      </c>
      <c r="G14" s="250">
        <v>18</v>
      </c>
      <c r="H14" s="249" t="s">
        <v>9</v>
      </c>
      <c r="I14" s="305">
        <v>28</v>
      </c>
      <c r="J14" s="14"/>
      <c r="K14" s="14"/>
      <c r="L14" s="14"/>
      <c r="M14" s="14"/>
    </row>
    <row r="15" spans="1:13" ht="15" customHeight="1">
      <c r="A15" s="90"/>
      <c r="B15" s="356"/>
      <c r="C15" s="12"/>
      <c r="D15" s="14"/>
      <c r="E15" s="14"/>
      <c r="F15" s="14"/>
      <c r="G15" s="14"/>
      <c r="H15" s="14"/>
      <c r="I15" s="14"/>
      <c r="J15" s="14"/>
      <c r="K15" s="14"/>
      <c r="L15" s="14"/>
      <c r="M15" s="14"/>
    </row>
    <row r="16" spans="1:13" ht="11.4" thickBot="1">
      <c r="A16" s="230" t="s">
        <v>132</v>
      </c>
      <c r="B16" s="158"/>
      <c r="C16" s="160"/>
      <c r="D16" s="235"/>
      <c r="E16" s="72"/>
      <c r="F16" s="72"/>
      <c r="G16" s="357"/>
      <c r="H16" s="195"/>
      <c r="I16" s="79"/>
      <c r="J16" s="20"/>
    </row>
    <row r="17" spans="1:13">
      <c r="A17" s="1" t="s">
        <v>241</v>
      </c>
      <c r="B17" s="18"/>
      <c r="C17" s="78"/>
      <c r="E17" s="124"/>
      <c r="F17" s="124"/>
      <c r="H17" s="239"/>
      <c r="I17" s="18"/>
    </row>
    <row r="18" spans="1:13">
      <c r="A18" s="1" t="s">
        <v>133</v>
      </c>
      <c r="B18" s="18"/>
      <c r="C18" s="78"/>
      <c r="E18" s="124"/>
      <c r="F18" s="124"/>
      <c r="H18" s="239"/>
      <c r="I18" s="18"/>
    </row>
    <row r="19" spans="1:13">
      <c r="A19" s="1" t="s">
        <v>134</v>
      </c>
      <c r="B19" s="18"/>
      <c r="C19" s="78"/>
      <c r="E19" s="124"/>
      <c r="F19" s="124"/>
      <c r="H19" s="239"/>
      <c r="I19" s="18"/>
    </row>
    <row r="20" spans="1:13" ht="15" customHeight="1">
      <c r="B20" s="18"/>
      <c r="C20" s="78"/>
      <c r="E20" s="124"/>
      <c r="F20" s="124"/>
      <c r="H20" s="239"/>
      <c r="I20" s="18"/>
    </row>
    <row r="21" spans="1:13" ht="15" customHeight="1">
      <c r="A21" s="738" t="s">
        <v>135</v>
      </c>
      <c r="B21" s="738"/>
      <c r="C21" s="738"/>
      <c r="D21" s="738"/>
      <c r="E21" s="738"/>
      <c r="F21" s="738"/>
      <c r="G21" s="738"/>
      <c r="H21" s="738"/>
      <c r="I21" s="784"/>
    </row>
    <row r="22" spans="1:13" ht="15" customHeight="1" thickBot="1">
      <c r="A22" s="739"/>
      <c r="B22" s="739"/>
      <c r="C22" s="739"/>
      <c r="D22" s="739"/>
      <c r="E22" s="739"/>
      <c r="F22" s="739"/>
      <c r="G22" s="739"/>
      <c r="H22" s="739"/>
      <c r="I22" s="785"/>
      <c r="J22" s="3"/>
      <c r="K22" s="4"/>
      <c r="L22" s="4"/>
    </row>
    <row r="23" spans="1:13" ht="22.5" customHeight="1">
      <c r="A23" s="358"/>
      <c r="B23" s="351" t="s">
        <v>39</v>
      </c>
      <c r="C23" s="262" t="s">
        <v>65</v>
      </c>
      <c r="D23" s="143" t="s">
        <v>66</v>
      </c>
      <c r="E23" s="193" t="s">
        <v>123</v>
      </c>
      <c r="F23" s="242" t="s">
        <v>124</v>
      </c>
      <c r="G23" s="242" t="s">
        <v>87</v>
      </c>
      <c r="H23" s="242" t="s">
        <v>89</v>
      </c>
      <c r="I23" s="269" t="s">
        <v>125</v>
      </c>
      <c r="J23" s="8"/>
      <c r="K23" s="8"/>
      <c r="L23" s="8"/>
      <c r="M23" s="9"/>
    </row>
    <row r="24" spans="1:13" ht="22.5" customHeight="1">
      <c r="A24" s="318" t="s">
        <v>136</v>
      </c>
      <c r="B24" s="352">
        <v>257</v>
      </c>
      <c r="C24" s="249">
        <v>1870</v>
      </c>
      <c r="D24" s="271">
        <v>406</v>
      </c>
      <c r="E24" s="271">
        <v>262</v>
      </c>
      <c r="F24" s="271">
        <v>50</v>
      </c>
      <c r="G24" s="271">
        <v>124</v>
      </c>
      <c r="H24" s="271">
        <v>236</v>
      </c>
      <c r="I24" s="272">
        <v>115</v>
      </c>
      <c r="J24" s="12"/>
      <c r="K24" s="12"/>
      <c r="L24" s="12"/>
      <c r="M24" s="12"/>
    </row>
    <row r="25" spans="1:13" ht="22.5" customHeight="1">
      <c r="A25" s="318" t="s">
        <v>137</v>
      </c>
      <c r="B25" s="354">
        <v>251</v>
      </c>
      <c r="C25" s="271">
        <v>1870</v>
      </c>
      <c r="D25" s="271">
        <v>396</v>
      </c>
      <c r="E25" s="271">
        <v>260</v>
      </c>
      <c r="F25" s="271">
        <v>50</v>
      </c>
      <c r="G25" s="271">
        <v>107</v>
      </c>
      <c r="H25" s="271">
        <v>230</v>
      </c>
      <c r="I25" s="272">
        <v>8</v>
      </c>
      <c r="J25" s="12"/>
      <c r="K25" s="12"/>
      <c r="L25" s="12"/>
      <c r="M25" s="12"/>
    </row>
    <row r="26" spans="1:13" ht="22.5" customHeight="1">
      <c r="A26" s="298" t="s">
        <v>138</v>
      </c>
      <c r="B26" s="245">
        <v>6</v>
      </c>
      <c r="C26" s="250" t="s">
        <v>9</v>
      </c>
      <c r="D26" s="250">
        <v>10</v>
      </c>
      <c r="E26" s="250">
        <v>2</v>
      </c>
      <c r="F26" s="250" t="s">
        <v>9</v>
      </c>
      <c r="G26" s="250">
        <v>17</v>
      </c>
      <c r="H26" s="250">
        <v>6</v>
      </c>
      <c r="I26" s="305">
        <v>107</v>
      </c>
      <c r="J26" s="14"/>
      <c r="K26" s="14"/>
      <c r="L26" s="14"/>
      <c r="M26" s="14"/>
    </row>
    <row r="27" spans="1:13" ht="22.5" customHeight="1">
      <c r="A27" s="90"/>
      <c r="B27" s="90"/>
      <c r="C27" s="12"/>
      <c r="D27" s="14"/>
      <c r="E27" s="14"/>
      <c r="F27" s="14"/>
      <c r="G27" s="14"/>
      <c r="H27" s="14"/>
      <c r="I27" s="14"/>
      <c r="J27" s="14"/>
      <c r="K27" s="14"/>
      <c r="L27" s="14"/>
      <c r="M27" s="14"/>
    </row>
    <row r="28" spans="1:13">
      <c r="A28" s="230" t="s">
        <v>242</v>
      </c>
    </row>
    <row r="29" spans="1:13">
      <c r="A29" s="230" t="s">
        <v>269</v>
      </c>
    </row>
    <row r="30" spans="1:13">
      <c r="A30" s="230" t="s">
        <v>139</v>
      </c>
    </row>
    <row r="31" spans="1:13" ht="12.6">
      <c r="A31" s="359"/>
    </row>
    <row r="32" spans="1:13" ht="12.6">
      <c r="A32" s="360"/>
    </row>
    <row r="33" spans="1:1" s="61" customFormat="1" ht="14.4">
      <c r="A33" s="1"/>
    </row>
    <row r="34" spans="1:1" s="61" customFormat="1" ht="14.4">
      <c r="A34" s="1"/>
    </row>
    <row r="35" spans="1:1" s="61" customFormat="1" ht="14.4">
      <c r="A35" s="1"/>
    </row>
    <row r="36" spans="1:1" s="61" customFormat="1" ht="14.4">
      <c r="A36" s="1"/>
    </row>
    <row r="37" spans="1:1" s="61" customFormat="1" ht="14.4">
      <c r="A37" s="1"/>
    </row>
    <row r="38" spans="1:1" s="61" customFormat="1" ht="14.4">
      <c r="A38" s="1"/>
    </row>
    <row r="39" spans="1:1" s="61" customFormat="1" ht="14.4">
      <c r="A39" s="1"/>
    </row>
  </sheetData>
  <mergeCells count="5">
    <mergeCell ref="A11:A14"/>
    <mergeCell ref="A10:B10"/>
    <mergeCell ref="A5:A6"/>
    <mergeCell ref="A7:B8"/>
    <mergeCell ref="A21:I2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1" sqref="A21"/>
    </sheetView>
  </sheetViews>
  <sheetFormatPr baseColWidth="10" defaultColWidth="8.5546875" defaultRowHeight="10.8"/>
  <cols>
    <col min="1" max="1" width="29.5546875" style="1" customWidth="1"/>
    <col min="2" max="2" width="23.44140625" style="1" customWidth="1"/>
    <col min="3" max="3" width="28.33203125" style="59" customWidth="1"/>
    <col min="4" max="4" width="21.44140625" style="1" customWidth="1"/>
    <col min="5" max="5" width="24.44140625" style="1" customWidth="1"/>
    <col min="6" max="7" width="11.44140625" style="1" customWidth="1"/>
    <col min="8" max="8" width="13.44140625" style="1" customWidth="1"/>
    <col min="9" max="9" width="10.5546875" style="1" customWidth="1"/>
    <col min="10" max="10" width="11.5546875" style="1" customWidth="1"/>
    <col min="11" max="16384" width="8.5546875" style="1"/>
  </cols>
  <sheetData>
    <row r="1" spans="1:10" ht="15" customHeight="1"/>
    <row r="2" spans="1:10" ht="15" customHeight="1"/>
    <row r="3" spans="1:10" ht="15" customHeight="1"/>
    <row r="4" spans="1:10" ht="15" customHeight="1"/>
    <row r="5" spans="1:10" ht="15" customHeight="1">
      <c r="A5" s="94"/>
      <c r="B5" s="94"/>
      <c r="C5" s="95"/>
      <c r="D5" s="94"/>
      <c r="E5" s="94"/>
    </row>
    <row r="6" spans="1:10" ht="15" customHeight="1">
      <c r="A6" s="783" t="s">
        <v>140</v>
      </c>
      <c r="B6" s="131"/>
    </row>
    <row r="7" spans="1:10" ht="15" customHeight="1">
      <c r="A7" s="783"/>
      <c r="B7" s="131"/>
    </row>
    <row r="8" spans="1:10" ht="15" customHeight="1">
      <c r="A8" s="738" t="s">
        <v>141</v>
      </c>
      <c r="B8" s="738"/>
      <c r="C8" s="738"/>
      <c r="D8" s="2"/>
      <c r="E8" s="3"/>
      <c r="F8" s="3"/>
      <c r="G8" s="4"/>
      <c r="H8" s="4"/>
      <c r="I8" s="4"/>
    </row>
    <row r="9" spans="1:10" ht="15" customHeight="1" thickBot="1">
      <c r="A9" s="739"/>
      <c r="B9" s="739"/>
      <c r="C9" s="739"/>
      <c r="D9" s="2"/>
      <c r="E9" s="3"/>
      <c r="F9" s="3"/>
      <c r="G9" s="4"/>
      <c r="H9" s="4"/>
      <c r="I9" s="4"/>
    </row>
    <row r="10" spans="1:10" ht="52.5" customHeight="1">
      <c r="A10" s="361"/>
      <c r="B10" s="363" t="s">
        <v>243</v>
      </c>
      <c r="C10" s="362" t="s">
        <v>142</v>
      </c>
      <c r="D10" s="363" t="s">
        <v>143</v>
      </c>
      <c r="E10" s="175" t="s">
        <v>144</v>
      </c>
      <c r="F10" s="7"/>
      <c r="G10" s="8"/>
      <c r="H10" s="8"/>
      <c r="I10" s="8"/>
      <c r="J10" s="9"/>
    </row>
    <row r="11" spans="1:10" ht="15" customHeight="1">
      <c r="A11" s="700" t="s">
        <v>39</v>
      </c>
      <c r="B11" s="701">
        <v>2042</v>
      </c>
      <c r="C11" s="572" t="s">
        <v>145</v>
      </c>
      <c r="D11" s="572" t="s">
        <v>146</v>
      </c>
      <c r="E11" s="573">
        <v>41514</v>
      </c>
      <c r="F11" s="12"/>
      <c r="G11" s="12"/>
      <c r="H11" s="12"/>
      <c r="I11" s="12"/>
      <c r="J11" s="12"/>
    </row>
    <row r="12" spans="1:10" ht="15" customHeight="1">
      <c r="A12" s="263" t="s">
        <v>65</v>
      </c>
      <c r="B12" s="702">
        <v>2031</v>
      </c>
      <c r="C12" s="574" t="s">
        <v>147</v>
      </c>
      <c r="D12" s="574" t="s">
        <v>146</v>
      </c>
      <c r="E12" s="575">
        <v>34339</v>
      </c>
      <c r="F12" s="12"/>
      <c r="G12" s="12"/>
      <c r="H12" s="12"/>
      <c r="I12" s="12"/>
      <c r="J12" s="12"/>
    </row>
    <row r="13" spans="1:10" ht="15" customHeight="1">
      <c r="A13" s="263" t="s">
        <v>66</v>
      </c>
      <c r="B13" s="702">
        <v>2038</v>
      </c>
      <c r="C13" s="574" t="s">
        <v>148</v>
      </c>
      <c r="D13" s="574" t="s">
        <v>149</v>
      </c>
      <c r="E13" s="575">
        <v>14172</v>
      </c>
    </row>
    <row r="14" spans="1:10" ht="15" customHeight="1">
      <c r="A14" s="263" t="s">
        <v>123</v>
      </c>
      <c r="B14" s="702">
        <v>2034</v>
      </c>
      <c r="C14" s="574" t="s">
        <v>150</v>
      </c>
      <c r="D14" s="574" t="s">
        <v>149</v>
      </c>
      <c r="E14" s="575">
        <v>13622</v>
      </c>
      <c r="F14" s="14"/>
      <c r="G14" s="14"/>
      <c r="H14" s="14"/>
      <c r="I14" s="14"/>
      <c r="J14" s="14"/>
    </row>
    <row r="15" spans="1:10" ht="15" customHeight="1">
      <c r="A15" s="263" t="s">
        <v>124</v>
      </c>
      <c r="B15" s="702" t="s">
        <v>9</v>
      </c>
      <c r="C15" s="574" t="s">
        <v>151</v>
      </c>
      <c r="D15" s="574" t="s">
        <v>152</v>
      </c>
      <c r="E15" s="575">
        <v>26854</v>
      </c>
    </row>
    <row r="16" spans="1:10" ht="15" customHeight="1">
      <c r="A16" s="263" t="s">
        <v>87</v>
      </c>
      <c r="B16" s="702" t="s">
        <v>9</v>
      </c>
      <c r="C16" s="574" t="s">
        <v>153</v>
      </c>
      <c r="D16" s="574" t="s">
        <v>152</v>
      </c>
      <c r="E16" s="575">
        <v>38242</v>
      </c>
    </row>
    <row r="17" spans="1:10" ht="15" customHeight="1">
      <c r="A17" s="263" t="s">
        <v>125</v>
      </c>
      <c r="B17" s="702" t="s">
        <v>9</v>
      </c>
      <c r="C17" s="574" t="s">
        <v>154</v>
      </c>
      <c r="D17" s="574" t="s">
        <v>155</v>
      </c>
      <c r="E17" s="575">
        <v>23717</v>
      </c>
      <c r="F17" s="3"/>
      <c r="G17" s="4"/>
      <c r="H17" s="4"/>
      <c r="I17" s="4"/>
    </row>
    <row r="18" spans="1:10" ht="15" customHeight="1">
      <c r="A18" s="5"/>
      <c r="B18" s="5"/>
      <c r="C18" s="6"/>
      <c r="D18" s="5"/>
      <c r="E18" s="6"/>
      <c r="F18" s="7"/>
      <c r="G18" s="8"/>
      <c r="H18" s="8"/>
      <c r="I18" s="8"/>
      <c r="J18" s="9"/>
    </row>
    <row r="19" spans="1:10" ht="15" customHeight="1">
      <c r="A19" s="230" t="s">
        <v>244</v>
      </c>
      <c r="B19" s="5"/>
      <c r="C19" s="6"/>
      <c r="D19" s="5"/>
      <c r="E19" s="6"/>
      <c r="F19" s="7"/>
      <c r="G19" s="8"/>
      <c r="H19" s="8"/>
      <c r="I19" s="8"/>
      <c r="J19" s="9"/>
    </row>
    <row r="20" spans="1:10" ht="11.4" thickBot="1">
      <c r="A20" s="230" t="s">
        <v>245</v>
      </c>
      <c r="B20" s="230"/>
      <c r="C20" s="160"/>
      <c r="D20" s="364"/>
    </row>
    <row r="21" spans="1:10">
      <c r="A21" s="230" t="s">
        <v>246</v>
      </c>
      <c r="B21" s="230"/>
    </row>
    <row r="22" spans="1:10">
      <c r="A22" s="230" t="s">
        <v>247</v>
      </c>
      <c r="B22" s="230"/>
    </row>
    <row r="23" spans="1:10">
      <c r="B23" s="230"/>
    </row>
    <row r="24" spans="1:10">
      <c r="A24" s="365"/>
      <c r="B24" s="365"/>
    </row>
    <row r="25" spans="1:10">
      <c r="A25" s="366"/>
      <c r="B25" s="366"/>
    </row>
    <row r="29" spans="1:10" s="61" customFormat="1" ht="14.4">
      <c r="A29" s="1"/>
      <c r="B29" s="1"/>
    </row>
    <row r="30" spans="1:10" s="61" customFormat="1" ht="14.4">
      <c r="A30" s="65"/>
      <c r="B30" s="65"/>
    </row>
    <row r="31" spans="1:10" s="61" customFormat="1" ht="14.4">
      <c r="A31" s="1"/>
      <c r="B31" s="1"/>
    </row>
    <row r="32" spans="1:10" s="61" customFormat="1" ht="14.4">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D3473-B078-4748-ABA1-D2EFA0B926D6}">
  <ds:schemaRefs>
    <ds:schemaRef ds:uri="http://purl.org/dc/terms/"/>
    <ds:schemaRef ds:uri="http://schemas.microsoft.com/office/infopath/2007/PartnerControls"/>
    <ds:schemaRef ds:uri="http://purl.org/dc/dcmitype/"/>
    <ds:schemaRef ds:uri="http://purl.org/dc/elements/1.1/"/>
    <ds:schemaRef ds:uri="873ba93c-0e6e-45cf-a0fa-63b1300ff2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2e8888c-93c7-4a69-8650-349354eae120"/>
  </ds:schemaRefs>
</ds:datastoreItem>
</file>

<file path=customXml/itemProps2.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Mariana Macarachvili</cp:lastModifiedBy>
  <cp:revision/>
  <dcterms:created xsi:type="dcterms:W3CDTF">2025-06-18T08:22:59Z</dcterms:created>
  <dcterms:modified xsi:type="dcterms:W3CDTF">2025-11-04T14:06:01Z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